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altion.fi\Yhteiset tiedostot\OAT\OH3570Oikeusapu\Pietarsaari\ICT\Romeo\Lowcode\2024\"/>
    </mc:Choice>
  </mc:AlternateContent>
  <xr:revisionPtr revIDLastSave="0" documentId="13_ncr:1_{E44A36AE-97A1-447C-9AC0-38DE7C45CB5A}" xr6:coauthVersionLast="47" xr6:coauthVersionMax="47" xr10:uidLastSave="{00000000-0000-0000-0000-000000000000}"/>
  <bookViews>
    <workbookView xWindow="3015" yWindow="2550" windowWidth="21600" windowHeight="11385" tabRatio="713" xr2:uid="{00000000-000D-0000-FFFF-FFFF00000000}"/>
  </bookViews>
  <sheets>
    <sheet name="Info" sheetId="1" r:id="rId1"/>
    <sheet name="Sammandrag" sheetId="2" r:id="rId2"/>
    <sheet name="Underhållstagar" sheetId="8" r:id="rId3"/>
    <sheet name="Perhe A old" sheetId="3" state="hidden" r:id="rId4"/>
    <sheet name="Familj A" sheetId="9" r:id="rId5"/>
    <sheet name="Familj B" sheetId="4" r:id="rId6"/>
    <sheet name="Asumismenojen erittely" sheetId="5" state="hidden" r:id="rId7"/>
    <sheet name="Grunduppgifter" sheetId="11" r:id="rId8"/>
    <sheet name="Grunduppgifter old" sheetId="6" state="hidden" r:id="rId9"/>
    <sheet name="Ändringar old" sheetId="7" state="hidden" r:id="rId10"/>
    <sheet name="Ändringar" sheetId="10" r:id="rId11"/>
  </sheets>
  <externalReferences>
    <externalReference r:id="rId12"/>
  </externalReferences>
  <definedNames>
    <definedName name="Asumis_osuudet" localSheetId="7">Grunduppgifter!$C$27:$G$34</definedName>
    <definedName name="Asumis_osuudet" localSheetId="10">[1]Grunduppgifter!$C$27:$G$34</definedName>
    <definedName name="Asumis_osuudet">'Grunduppgifter old'!$C$27:$G$34</definedName>
    <definedName name="Asumismenot">'Asumismenojen erittely'!$A$1:$H$52</definedName>
    <definedName name="Elatusaajat">Underhållstagar!$G$5</definedName>
    <definedName name="Elatusvelvollisen_asumismenot">'Asumismenojen erittely'!$C$32</definedName>
    <definedName name="Elatusvelvollisen_asumismenot_back" localSheetId="4">'Familj A'!$C$28</definedName>
    <definedName name="Elatusvelvollisen_asumismenot_back" localSheetId="2">Underhållstagar!#REF!</definedName>
    <definedName name="Elatusvelvollisen_asumismenot_back">'Familj B'!$C$28</definedName>
    <definedName name="Elatusvelvollisen_tiedot" localSheetId="4">'Familj A'!$A$1:$I$57</definedName>
    <definedName name="Elatusvelvollisen_tiedot" localSheetId="2">Underhållstagar!$A$1:$I$50</definedName>
    <definedName name="Elatusvelvollisen_tiedot">'Familj B'!$A$1:$I$57</definedName>
    <definedName name="Lapsilisat" localSheetId="7">Grunduppgifter!$C$46:$G$50</definedName>
    <definedName name="Lapsilisat" localSheetId="10">[1]Grunduppgifter!$C$46:$G$50</definedName>
    <definedName name="Lapsilisat">'Grunduppgifter old'!$C$46:$G$50</definedName>
    <definedName name="Lasten_kustannukset" localSheetId="7">Grunduppgifter!$C$5:$E$8</definedName>
    <definedName name="Lasten_kustannukset" localSheetId="10">[1]Grunduppgifter!$C$5:$E$8</definedName>
    <definedName name="Lasten_kustannukset">'Grunduppgifter old'!$C$5:$E$8</definedName>
    <definedName name="Lasten_luonapito" localSheetId="7">Grunduppgifter!$E$18:$I$23</definedName>
    <definedName name="Lasten_luonapito" localSheetId="10">[1]Grunduppgifter!$E$18:$I$23</definedName>
    <definedName name="Lasten_luonapito">'Grunduppgifter old'!$E$18:$I$23</definedName>
    <definedName name="Lähivanhemman_asumismenot">'Asumismenojen erittely'!$C$9</definedName>
    <definedName name="Lähivanhemman_asumismenot_back">'Perhe A old'!$C$44</definedName>
    <definedName name="Lähivanhemman_tiedot">'Perhe A old'!$A$1:$I$55</definedName>
    <definedName name="Muutoshistoria">'Ändringar old'!$B$2</definedName>
    <definedName name="Tulosta_lapset">"$#REF!.$A$1:$J$73"</definedName>
    <definedName name="Tulosta_lapset2">"$#REF!.$A$1:$K$27"</definedName>
    <definedName name="Tulosta_laskelma">Sammandrag!$A$1:$F$54</definedName>
    <definedName name="Tulosta_vakiot" localSheetId="7">Grunduppgifter!$A$1:$I$46</definedName>
    <definedName name="Tulosta_vakiot">'Grunduppgifter old'!$A$1:$I$46</definedName>
    <definedName name="Tulosta_vanhemmat">"$#REF!.$A$1:$F$54"</definedName>
    <definedName name="_xlnm.Print_Area" localSheetId="4">'Familj A'!$A$1:$I$59</definedName>
    <definedName name="_xlnm.Print_Area" localSheetId="5">'Familj B'!$A$1:$I$59</definedName>
    <definedName name="_xlnm.Print_Area" localSheetId="3">'Perhe A old'!$A$1:$I$51</definedName>
    <definedName name="_xlnm.Print_Area" localSheetId="1">Sammandrag!$A$1:$G$60</definedName>
    <definedName name="_xlnm.Print_Area" localSheetId="2">Underhållstagar!$A$1:$J$55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8" l="1"/>
  <c r="E15" i="8"/>
  <c r="E7" i="4"/>
  <c r="E7" i="9"/>
  <c r="E16" i="9"/>
  <c r="E16" i="4"/>
  <c r="G46" i="11" l="1"/>
  <c r="G47" i="11" s="1"/>
  <c r="G48" i="11" s="1"/>
  <c r="G49" i="11" s="1"/>
  <c r="G50" i="11" s="1"/>
  <c r="G34" i="11"/>
  <c r="G33" i="11"/>
  <c r="G32" i="11"/>
  <c r="G31" i="11"/>
  <c r="G30" i="11"/>
  <c r="G29" i="11"/>
  <c r="G28" i="11"/>
  <c r="D20" i="9" l="1"/>
  <c r="F16" i="2"/>
  <c r="E32" i="8"/>
  <c r="F7" i="2"/>
  <c r="F28" i="2"/>
  <c r="D21" i="4"/>
  <c r="D21" i="9"/>
  <c r="D20" i="4"/>
  <c r="E44" i="8"/>
  <c r="F26" i="2" s="1"/>
  <c r="D24" i="4" l="1"/>
  <c r="G9" i="8"/>
  <c r="G8" i="8"/>
  <c r="D4" i="2"/>
  <c r="F4" i="2"/>
  <c r="D9" i="8"/>
  <c r="E18" i="8"/>
  <c r="D26" i="2"/>
  <c r="E5" i="8"/>
  <c r="E9" i="8" s="1"/>
  <c r="F25" i="2" s="1"/>
  <c r="F29" i="2" l="1"/>
  <c r="D29" i="2"/>
  <c r="E8" i="8"/>
  <c r="D25" i="2" s="1"/>
  <c r="D16" i="2" l="1"/>
  <c r="E28" i="9"/>
  <c r="E28" i="4"/>
  <c r="D7" i="2"/>
  <c r="E39" i="9"/>
  <c r="E21" i="9"/>
  <c r="D24" i="9"/>
  <c r="E17" i="9"/>
  <c r="E44" i="3"/>
  <c r="E55" i="3"/>
  <c r="E39" i="4"/>
  <c r="D5" i="8"/>
  <c r="E13" i="3"/>
  <c r="F6" i="2"/>
  <c r="E29" i="9" l="1"/>
  <c r="F43" i="2"/>
  <c r="D43" i="2"/>
  <c r="E29" i="4"/>
  <c r="D17" i="8"/>
  <c r="E30" i="9"/>
  <c r="E32" i="9" s="1"/>
  <c r="D49" i="2" s="1"/>
  <c r="E9" i="9"/>
  <c r="E20" i="9" s="1"/>
  <c r="E24" i="9" s="1"/>
  <c r="D15" i="2" s="1"/>
  <c r="F11" i="2"/>
  <c r="D11" i="2"/>
  <c r="D6" i="2"/>
  <c r="E4" i="5"/>
  <c r="E27" i="5"/>
  <c r="E17" i="4"/>
  <c r="E21" i="4"/>
  <c r="E5" i="3"/>
  <c r="E14" i="3"/>
  <c r="E18" i="3"/>
  <c r="D23" i="3"/>
  <c r="E23" i="3"/>
  <c r="D24" i="3"/>
  <c r="D25" i="3"/>
  <c r="E25" i="3"/>
  <c r="E31" i="3"/>
  <c r="G28" i="6"/>
  <c r="G29" i="6"/>
  <c r="G30" i="6"/>
  <c r="G31" i="6"/>
  <c r="G32" i="6"/>
  <c r="G33" i="6"/>
  <c r="G34" i="6"/>
  <c r="G46" i="6"/>
  <c r="G47" i="6" s="1"/>
  <c r="E9" i="4" l="1"/>
  <c r="F14" i="2"/>
  <c r="D14" i="2"/>
  <c r="E33" i="9"/>
  <c r="D10" i="2" s="1"/>
  <c r="D12" i="2" s="1"/>
  <c r="G48" i="6"/>
  <c r="G49" i="6" s="1"/>
  <c r="G50" i="6" s="1"/>
  <c r="I50" i="6" s="1"/>
  <c r="D28" i="2"/>
  <c r="F8" i="2"/>
  <c r="D27" i="3"/>
  <c r="D8" i="2"/>
  <c r="E20" i="4"/>
  <c r="E24" i="4" s="1"/>
  <c r="F15" i="2" s="1"/>
  <c r="E7" i="3"/>
  <c r="E24" i="3" s="1"/>
  <c r="D13" i="2" l="1"/>
  <c r="D17" i="2" s="1"/>
  <c r="D19" i="2" s="1"/>
  <c r="D27" i="2"/>
  <c r="D30" i="2" s="1"/>
  <c r="E30" i="4"/>
  <c r="E32" i="4" s="1"/>
  <c r="E45" i="3"/>
  <c r="E46" i="3" s="1"/>
  <c r="E48" i="3" s="1"/>
  <c r="E27" i="3"/>
  <c r="D42" i="2" l="1"/>
  <c r="E33" i="4"/>
  <c r="F10" i="2" s="1"/>
  <c r="F12" i="2" s="1"/>
  <c r="F49" i="2"/>
  <c r="E49" i="3"/>
  <c r="D20" i="2"/>
  <c r="F27" i="2" l="1"/>
  <c r="F13" i="2"/>
  <c r="F17" i="2" s="1"/>
  <c r="F19" i="2" s="1"/>
  <c r="D48" i="2"/>
  <c r="F42" i="2" l="1"/>
  <c r="F30" i="2"/>
  <c r="F20" i="2"/>
  <c r="F21" i="2" l="1"/>
  <c r="D21" i="2"/>
  <c r="D35" i="2" s="1"/>
  <c r="F48" i="2"/>
  <c r="D36" i="2" l="1"/>
  <c r="F35" i="2"/>
  <c r="F36" i="2" s="1"/>
  <c r="D34" i="2" l="1"/>
  <c r="F34" i="2"/>
  <c r="F44" i="2" s="1"/>
  <c r="D44" i="2" l="1"/>
  <c r="F37" i="2"/>
  <c r="D37" i="2"/>
  <c r="D50" i="2" s="1"/>
  <c r="F50" i="2" l="1"/>
  <c r="F51" i="2" s="1"/>
  <c r="F38" i="2"/>
  <c r="D51" i="2"/>
  <c r="D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 Martin (OAT)</author>
  </authors>
  <commentList>
    <comment ref="D4" authorId="0" shapeId="0" xr:uid="{B8116150-59F6-44F4-8C4B-6ABABF6F33B2}">
      <text>
        <r>
          <rPr>
            <b/>
            <sz val="9"/>
            <color indexed="81"/>
            <rFont val="Tahoma"/>
            <family val="2"/>
          </rPr>
          <t>Melin Martin (OAT):</t>
        </r>
        <r>
          <rPr>
            <sz val="9"/>
            <color indexed="81"/>
            <rFont val="Tahoma"/>
            <family val="2"/>
          </rPr>
          <t xml:space="preserve">
Anna nimi perhetiedoissa.</t>
        </r>
      </text>
    </comment>
    <comment ref="F4" authorId="0" shapeId="0" xr:uid="{49B6FEF8-19CA-46F3-8FF0-B9C7A3DB2A5E}">
      <text>
        <r>
          <rPr>
            <b/>
            <sz val="9"/>
            <color indexed="81"/>
            <rFont val="Tahoma"/>
            <family val="2"/>
          </rPr>
          <t>Melin Martin (OAT):</t>
        </r>
        <r>
          <rPr>
            <sz val="9"/>
            <color indexed="81"/>
            <rFont val="Tahoma"/>
            <family val="2"/>
          </rPr>
          <t xml:space="preserve">
Anna nimi perhetiedoissa.</t>
        </r>
      </text>
    </comment>
    <comment ref="C29" authorId="0" shapeId="0" xr:uid="{6A9D815E-C4BC-401E-88B1-A81C65394B59}">
      <text>
        <r>
          <rPr>
            <b/>
            <sz val="9"/>
            <color indexed="81"/>
            <rFont val="Tahoma"/>
            <family val="2"/>
          </rPr>
          <t>Melin Martin (OAT):</t>
        </r>
        <r>
          <rPr>
            <sz val="9"/>
            <color indexed="81"/>
            <rFont val="Tahoma"/>
            <family val="2"/>
          </rPr>
          <t xml:space="preserve">
Mahdolliset huomioitavat tulot jaetaan tasan.</t>
        </r>
      </text>
    </comment>
    <comment ref="C37" authorId="0" shapeId="0" xr:uid="{8F545033-0063-49BA-BC85-D16AFEB59A5C}">
      <text>
        <r>
          <rPr>
            <b/>
            <sz val="9"/>
            <color indexed="81"/>
            <rFont val="Tahoma"/>
            <family val="2"/>
          </rPr>
          <t>Melin Martin (OAT):</t>
        </r>
        <r>
          <rPr>
            <sz val="9"/>
            <color indexed="81"/>
            <rFont val="Tahoma"/>
            <family val="2"/>
          </rPr>
          <t xml:space="preserve">
Elatusapu = Laskennallinen osuus elatusvelvollisuudesta - perheen vastuulla olevat kustannukset (Kustannukset yhteensä). Jos Elatuskykyperuste ei riitä tähän Elatusapu = Elatuskykyperuste -  perheen vastuulla olevat kustannukset (Muut kustannukset). Jos elatuskykyperuste on pienempi kuin em. kustannukset ei tule elatusapua maksettavaksi.</t>
        </r>
      </text>
    </comment>
    <comment ref="C42" authorId="0" shapeId="0" xr:uid="{BAEE8FF7-4985-4CEC-A197-306F82E3F02A}">
      <text>
        <r>
          <rPr>
            <b/>
            <sz val="9"/>
            <color indexed="81"/>
            <rFont val="Tahoma"/>
            <charset val="1"/>
          </rPr>
          <t>Melin Martin (OAT):</t>
        </r>
        <r>
          <rPr>
            <sz val="9"/>
            <color indexed="81"/>
            <rFont val="Tahoma"/>
            <charset val="1"/>
          </rPr>
          <t xml:space="preserve">
Ohjeen mukaan vertailu tehdään siten että elatusvelvollisen asumismenot vähennetään kokonaisuudessaan. Elias toimii niin että elatuksensaajien osuus asumiskustannuksista vähennetään elatuskykyperusteesta.</t>
        </r>
      </text>
    </comment>
    <comment ref="C44" authorId="0" shapeId="0" xr:uid="{C49E86E6-35E7-4CE0-876F-A7C073D23F8E}">
      <text>
        <r>
          <rPr>
            <b/>
            <sz val="9"/>
            <color indexed="81"/>
            <rFont val="Tahoma"/>
            <charset val="1"/>
          </rPr>
          <t>Melin Martin (OAT):</t>
        </r>
        <r>
          <rPr>
            <sz val="9"/>
            <color indexed="81"/>
            <rFont val="Tahoma"/>
            <charset val="1"/>
          </rPr>
          <t xml:space="preserve">
Jos on elatuskykyä mutta vaihtoehtoinen elatuskyky alittaa laskennallisen elatustuen määrää näytetään että merkintä on mahdollinen.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Melin Martin (OAT)</author>
  </authors>
  <commentList>
    <comment ref="C13" authorId="0" shapeId="0" xr:uid="{A6F57B4B-3400-432C-AAD7-80457C9454BA}">
      <text>
        <r>
          <rPr>
            <b/>
            <sz val="9"/>
            <color indexed="81"/>
            <rFont val="Tahoma"/>
            <family val="2"/>
          </rPr>
          <t>Melin Martin (OAT):</t>
        </r>
        <r>
          <rPr>
            <sz val="9"/>
            <color indexed="81"/>
            <rFont val="Tahoma"/>
            <family val="2"/>
          </rPr>
          <t xml:space="preserve">
Jos lapsilisä maksetaan eri perheille Elias laskee elatuksensaajien osuudet myös perhekohtaisesti.</t>
        </r>
      </text>
    </comment>
    <comment ref="D13" authorId="0" shapeId="0" xr:uid="{02BFF5D0-3C6A-4317-B3F6-A8E912762182}">
      <text>
        <r>
          <rPr>
            <b/>
            <sz val="9"/>
            <color indexed="81"/>
            <rFont val="Tahoma"/>
            <family val="2"/>
          </rPr>
          <t>Melin Martin (OAT):</t>
        </r>
        <r>
          <rPr>
            <sz val="9"/>
            <color indexed="81"/>
            <rFont val="Tahoma"/>
            <family val="2"/>
          </rPr>
          <t xml:space="preserve">
Jos lukumäärät tässä ei vasta elatuksensaajien määrään tulee Virhe-ilmoitus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1000000}">
      <text>
        <r>
          <rPr>
            <sz val="10"/>
            <rFont val="Arial"/>
            <family val="2"/>
          </rPr>
          <t>Tämä valinta vaikuttaa siihen otetaanko kaikki asumismenot huomioon sekä lapsilisäkorotuslaskentaan.</t>
        </r>
      </text>
    </comment>
    <comment ref="C6" authorId="0" shapeId="0" xr:uid="{00000000-0006-0000-0200-000002000000}">
      <text>
        <r>
          <rPr>
            <sz val="10"/>
            <rFont val="Arial"/>
            <family val="2"/>
          </rPr>
          <t xml:space="preserve">Mikäli halutaan jakaa asumiskustannukset ym lähivanhemman ja uuden puolison välillä toisella tavalla kuin tasan lähivanhemman osuus on annettava prosentteinä tässä.
</t>
        </r>
      </text>
    </comment>
    <comment ref="C12" authorId="0" shapeId="0" xr:uid="{00000000-0006-0000-0200-000003000000}">
      <text>
        <r>
          <rPr>
            <sz val="10"/>
            <rFont val="Arial"/>
            <family val="2"/>
          </rPr>
          <t>Ilmoita montako lähivanhemman lapsista on alle 17 vuotta. Mikäli lähivanhempi on yksinhuoltaja ohjelma laskee lapsilisäkorotukset seuraavalle riville.</t>
        </r>
      </text>
    </comment>
    <comment ref="C13" authorId="0" shapeId="0" xr:uid="{00000000-0006-0000-0200-000004000000}">
      <text>
        <r>
          <rPr>
            <sz val="10"/>
            <rFont val="Arial"/>
            <family val="2"/>
          </rPr>
          <t>Taloudessa asuvien lähivanhemman 
lasten lapsilisien korotukset. Mikäli ei ole yksinhuoltaja kenttä jää tyhjäksi.</t>
        </r>
      </text>
    </comment>
    <comment ref="C17" authorId="0" shapeId="0" xr:uid="{00000000-0006-0000-0200-000005000000}">
      <text>
        <r>
          <rPr>
            <sz val="10"/>
            <rFont val="Arial"/>
            <family val="2"/>
          </rPr>
          <t>Ilmoita montako elatuksensaajista, jotka saavat lapsilisän.</t>
        </r>
      </text>
    </comment>
    <comment ref="C18" authorId="0" shapeId="0" xr:uid="{00000000-0006-0000-0200-000006000000}">
      <text>
        <r>
          <rPr>
            <sz val="10"/>
            <rFont val="Arial"/>
            <family val="2"/>
          </rPr>
          <t>Elias laske kaikki elatuksensaajien suhteellinen osuus lähivanhemmalle tulevista lapsilisistä.</t>
        </r>
      </text>
    </comment>
    <comment ref="C25" authorId="0" shapeId="0" xr:uid="{00000000-0006-0000-0200-000007000000}">
      <text>
        <r>
          <rPr>
            <sz val="10"/>
            <rFont val="Arial"/>
            <family val="2"/>
          </rPr>
          <t>Lähivanhemman kanssa asuvia lapsia, jotka eivät ole yhteisiä uuden puolison eikä elatusvelvollisen kanssa.</t>
        </r>
      </text>
    </comment>
    <comment ref="C26" authorId="0" shapeId="0" xr:uid="{00000000-0006-0000-0200-000008000000}">
      <text>
        <r>
          <rPr>
            <sz val="10"/>
            <rFont val="Arial"/>
            <family val="2"/>
          </rPr>
          <t>Lähivanhemman mahdollisen uuden puolison samassa taloudessa asuvat lapset tai jommankumman puolison täysikäisiä lapsia. Lukumäärä otetaan huomioon ainoastaan laskennallisessa vuokramenossa.</t>
        </r>
      </text>
    </comment>
    <comment ref="C45" authorId="0" shapeId="0" xr:uid="{00000000-0006-0000-0200-00000A000000}">
      <text>
        <r>
          <rPr>
            <sz val="10"/>
            <rFont val="Arial"/>
            <family val="2"/>
          </rPr>
          <t>Laske laskennalliset vuokramenot taloudessa asuvien henkilöiden lukumäärän mukaan. Vuokrataso ilmoitetaan Vakiot-sivulla ja sitä voidaan muuttaa tapauskohtaisestikin.</t>
        </r>
      </text>
    </comment>
    <comment ref="C46" authorId="0" shapeId="0" xr:uid="{00000000-0006-0000-0200-00000B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47" authorId="0" shapeId="0" xr:uid="{00000000-0006-0000-0200-00000C000000}">
      <text>
        <r>
          <rPr>
            <sz val="10"/>
            <rFont val="Arial"/>
            <family val="2"/>
          </rPr>
          <t>Syötä tähän ne asumismenot jotka pitää ottaa huomioon mikäli olettamus on liian pieni</t>
        </r>
      </text>
    </comment>
    <comment ref="C49" authorId="0" shapeId="0" xr:uid="{00000000-0006-0000-0200-00000D000000}">
      <text>
        <r>
          <rPr>
            <sz val="10"/>
            <rFont val="Arial"/>
            <family val="2"/>
          </rPr>
          <t>Mikäli elatusvelvollisella on uusi puoliso jaetaan asumiskustannukset tasan tai sivun alussa annetun prosenttiluvun mukaan.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Melin Martin (OAT)</author>
    <author/>
  </authors>
  <commentList>
    <comment ref="C3" authorId="0" shapeId="0" xr:uid="{DB69D1F7-0D85-4A99-ABEA-023E0657D3A4}">
      <text>
        <r>
          <rPr>
            <b/>
            <sz val="9"/>
            <color indexed="81"/>
            <rFont val="Tahoma"/>
            <family val="2"/>
          </rPr>
          <t>Melin Martin (OAT):</t>
        </r>
        <r>
          <rPr>
            <sz val="9"/>
            <color indexed="81"/>
            <rFont val="Tahoma"/>
            <family val="2"/>
          </rPr>
          <t xml:space="preserve">
Ge familjens namn eller beskrivning. Uppgiften syns på övriga flikar.</t>
        </r>
      </text>
    </comment>
    <comment ref="C6" authorId="1" shapeId="0" xr:uid="{0EF405E1-D6B2-47C5-B081-308EBD8C85CC}">
      <text>
        <r>
          <rPr>
            <sz val="10"/>
            <rFont val="Arial"/>
            <family val="2"/>
          </rPr>
          <t xml:space="preserve">Det här valet inverkar på om barnbidragsförhöjning tas med och om boendekostnader delas.
</t>
        </r>
      </text>
    </comment>
    <comment ref="C8" authorId="1" shapeId="0" xr:uid="{D3E01058-1359-4F9C-A6AB-2153CA7A80E0}">
      <text>
        <r>
          <rPr>
            <sz val="10"/>
            <rFont val="Arial"/>
            <family val="2"/>
          </rPr>
          <t xml:space="preserve">Ifall man vill dela boendekostnaderna på ett avvikande sätt mellan föräldern och en ny partner kan man ange delningsgrunden i procent här.
</t>
        </r>
      </text>
    </comment>
    <comment ref="C14" authorId="1" shapeId="0" xr:uid="{557D569C-B94B-47E6-9915-0167CE6B9F58}">
      <text>
        <r>
          <rPr>
            <sz val="10"/>
            <rFont val="Arial"/>
            <family val="2"/>
          </rPr>
          <t>Ilmoita montako elatusvelvollisen lapsista on alle 17 vuotta. Mikäli elatusvelvollinen on yksinhuoltaja ohjelma laskee lapsilisäkorotukset seuraavalle riville.</t>
        </r>
      </text>
    </comment>
    <comment ref="C15" authorId="0" shapeId="0" xr:uid="{B2411C85-89F1-415E-A602-AE23E58C0B2E}">
      <text>
        <r>
          <rPr>
            <b/>
            <sz val="9"/>
            <color indexed="81"/>
            <rFont val="Tahoma"/>
            <charset val="1"/>
          </rPr>
          <t>Melin Martin (OAT):</t>
        </r>
        <r>
          <rPr>
            <sz val="9"/>
            <color indexed="81"/>
            <rFont val="Tahoma"/>
            <charset val="1"/>
          </rPr>
          <t xml:space="preserve">
1.4.2024 alkaen tulee korotus voimaan. Huomioidaan laskennassa jos annetaan ko. lasten lukumäärä tässä.</t>
        </r>
      </text>
    </comment>
    <comment ref="C16" authorId="1" shapeId="0" xr:uid="{8AB58E05-DB15-4DAE-83F9-C711C9F5DDF8}">
      <text>
        <r>
          <rPr>
            <sz val="10"/>
            <rFont val="Arial"/>
            <family val="2"/>
          </rPr>
          <t>Förhöjningar på barnbidrag som utbetalas till ensamförsöjare.</t>
        </r>
      </text>
    </comment>
    <comment ref="C20" authorId="1" shapeId="0" xr:uid="{00325409-AE78-47F2-8767-5F5E5669E2DF}">
      <text>
        <r>
          <rPr>
            <sz val="10"/>
            <rFont val="Arial"/>
            <family val="2"/>
          </rPr>
          <t>Elatusvelvollisen ja mahdollisen uuden puolison yhteiset lapset.</t>
        </r>
      </text>
    </comment>
    <comment ref="C21" authorId="1" shapeId="0" xr:uid="{720873BA-47DC-410C-992D-A9D60C794AA0}">
      <text>
        <r>
          <rPr>
            <sz val="10"/>
            <rFont val="Arial"/>
            <family val="2"/>
          </rPr>
          <t>Elatusvelvollisen kanssa asuvia lapsia, jotka eivät ole yhteisiä uuden puolison eikä elatuksensaajien toisen 
vanhemman kanssa.</t>
        </r>
      </text>
    </comment>
    <comment ref="C22" authorId="1" shapeId="0" xr:uid="{CA588AEF-EA91-4C61-AC0B-CE3742D4C743}">
      <text>
        <r>
          <rPr>
            <sz val="10"/>
            <rFont val="Arial"/>
            <family val="2"/>
          </rPr>
          <t>Elatusvelvollisen kanssa asuvien muiden lasten elatuspau, elatustuki tai perhe-eläke. Vähennetään vähennyksistä.</t>
        </r>
      </text>
    </comment>
    <comment ref="C23" authorId="1" shapeId="0" xr:uid="{5349499E-BA2A-45F5-B5F8-E4F737152B08}">
      <text>
        <r>
          <rPr>
            <sz val="10"/>
            <rFont val="Arial"/>
            <family val="2"/>
          </rPr>
          <t>Elatusvelvollisen mahdollisen uuden puolison samassa taloudessa asuvat lapset tai jommankumman puolison täysikäisiä lapsia. Lukumäärä otetaan huomioon ainoastaan laskennallisessa vuokramenossa.</t>
        </r>
      </text>
    </comment>
    <comment ref="C25" authorId="1" shapeId="0" xr:uid="{1003178C-9DC0-41E5-BCD4-FDC6E2E222E3}">
      <text>
        <r>
          <rPr>
            <sz val="10"/>
            <rFont val="Arial"/>
            <family val="2"/>
          </rPr>
          <t>Elatusvelvollisen  muille kuin elatuksensaajille maksettava elatusapua.</t>
        </r>
      </text>
    </comment>
    <comment ref="C29" authorId="1" shapeId="0" xr:uid="{06CE042D-D425-4237-9F83-7FD369307B32}">
      <text>
        <r>
          <rPr>
            <sz val="10"/>
            <rFont val="Arial"/>
            <family val="2"/>
          </rPr>
          <t>Laske laskennalliset vuokramenot taloudessa asuvien henkilöiden lukumäärän mukaan. Vuokrataso ilmoitetaan Vakiot-sivulla ja sitä voidaan muuttaa tapauskohtaisestikin.</t>
        </r>
      </text>
    </comment>
    <comment ref="C30" authorId="1" shapeId="0" xr:uid="{18812844-9BFD-48CB-A177-F0603F267141}">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31" authorId="1" shapeId="0" xr:uid="{B48F8F3E-901A-4162-8041-3C164AA29D72}">
      <text>
        <r>
          <rPr>
            <sz val="10"/>
            <rFont val="Arial"/>
            <family val="2"/>
          </rPr>
          <t>Syötä tähän ne asumismenot jotka pitää ottaa huomioon mikäli olettamus on liian pieni</t>
        </r>
      </text>
    </comment>
    <comment ref="C33" authorId="1" shapeId="0" xr:uid="{030B562C-6E18-4AE4-BB7F-1CD818C24228}">
      <text>
        <r>
          <rPr>
            <sz val="10"/>
            <rFont val="Arial"/>
            <family val="2"/>
          </rPr>
          <t>Mikäli elatusvelvollisella on uusi puoliso jaetaan asumiskustannukset oletusarvon tai annetun prosenttiluvun mukaan.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Melin Martin (OAT)</author>
    <author/>
  </authors>
  <commentList>
    <comment ref="C3" authorId="0" shapeId="0" xr:uid="{6F0E7A63-F211-48FB-B827-7C7B9B2752E6}">
      <text>
        <r>
          <rPr>
            <b/>
            <sz val="9"/>
            <color indexed="81"/>
            <rFont val="Tahoma"/>
            <family val="2"/>
          </rPr>
          <t>Melin Martin (OAT):</t>
        </r>
        <r>
          <rPr>
            <sz val="9"/>
            <color indexed="81"/>
            <rFont val="Tahoma"/>
            <family val="2"/>
          </rPr>
          <t xml:space="preserve">
Ge familjens namn eller beskrivning. Uppgiften syns på övriga flikar.</t>
        </r>
      </text>
    </comment>
    <comment ref="C6" authorId="1" shapeId="0" xr:uid="{646A8D75-D35B-4EF7-9898-2A9D7778F835}">
      <text>
        <r>
          <rPr>
            <sz val="10"/>
            <rFont val="Arial"/>
            <family val="2"/>
          </rPr>
          <t xml:space="preserve">Det här valet inverkar på om barnbidragsförhöjning tas med och om boendekostnader delas.
</t>
        </r>
      </text>
    </comment>
    <comment ref="C8" authorId="1" shapeId="0" xr:uid="{7ECD53E0-F266-4515-905B-203777038213}">
      <text>
        <r>
          <rPr>
            <sz val="10"/>
            <rFont val="Arial"/>
            <family val="2"/>
          </rPr>
          <t xml:space="preserve">Ifall man vill dela boendekostnaderna på ett avvikande sätt mellan föräldern och en ny partner kan man ange delningsgrunden i procent här.
</t>
        </r>
      </text>
    </comment>
    <comment ref="C14" authorId="1" shapeId="0" xr:uid="{ACEFC2AF-3C55-4F66-A960-D1D5164008EB}">
      <text>
        <r>
          <rPr>
            <sz val="10"/>
            <rFont val="Arial"/>
            <family val="2"/>
          </rPr>
          <t>Ilmoita montako elatusvelvollisen lapsista on alle 17 vuotta. Mikäli elatusvelvollinen on yksinhuoltaja ohjelma laskee lapsilisäkorotukset seuraavalle riville.</t>
        </r>
      </text>
    </comment>
    <comment ref="C15" authorId="0" shapeId="0" xr:uid="{23C4E0A8-6BA0-44B9-BB2B-D7AC2DB182DC}">
      <text>
        <r>
          <rPr>
            <b/>
            <sz val="9"/>
            <color indexed="81"/>
            <rFont val="Tahoma"/>
            <charset val="1"/>
          </rPr>
          <t>Melin Martin (OAT):</t>
        </r>
        <r>
          <rPr>
            <sz val="9"/>
            <color indexed="81"/>
            <rFont val="Tahoma"/>
            <charset val="1"/>
          </rPr>
          <t xml:space="preserve">
1.4.2024 alkaen tulee korotus voimaan. Huomioidaan laskennassa jos annetaan ko. lasten lukumäärä tässä.</t>
        </r>
      </text>
    </comment>
    <comment ref="C16" authorId="1" shapeId="0" xr:uid="{C55E5EB9-A54F-4B3F-B4FB-C4911C7FF191}">
      <text>
        <r>
          <rPr>
            <sz val="10"/>
            <rFont val="Arial"/>
            <family val="2"/>
          </rPr>
          <t>Förhöjningar på barnbidrag som utbetalas till ensamförsöjare.</t>
        </r>
      </text>
    </comment>
    <comment ref="C20" authorId="1" shapeId="0" xr:uid="{746BD81B-D419-4680-86DA-0C3A5DB73CBB}">
      <text>
        <r>
          <rPr>
            <sz val="10"/>
            <rFont val="Arial"/>
            <family val="2"/>
          </rPr>
          <t>Elatusvelvollisen ja mahdollisen uuden puolison yhteiset lapset.</t>
        </r>
      </text>
    </comment>
    <comment ref="C21" authorId="1" shapeId="0" xr:uid="{DDA1DF21-79AC-40D1-85D5-B33A8F9E1E6F}">
      <text>
        <r>
          <rPr>
            <sz val="10"/>
            <rFont val="Arial"/>
            <family val="2"/>
          </rPr>
          <t>Elatusvelvollisen kanssa asuvia lapsia, jotka eivät ole yhteisiä uuden puolison eikä elatuksensaajien toisen 
vanhemman kanssa.</t>
        </r>
      </text>
    </comment>
    <comment ref="C22" authorId="1" shapeId="0" xr:uid="{EF2462D5-0838-40B6-9ACE-CB3BA7607731}">
      <text>
        <r>
          <rPr>
            <sz val="10"/>
            <rFont val="Arial"/>
            <family val="2"/>
          </rPr>
          <t>Elatusvelvollisen kanssa asuvien muiden lasten elatuspau, elatustuki tai perhe-eläke. Vähennetään vähennyksistä.</t>
        </r>
      </text>
    </comment>
    <comment ref="C23" authorId="1" shapeId="0" xr:uid="{E60E457A-D40F-41F6-981E-960FDE050B58}">
      <text>
        <r>
          <rPr>
            <sz val="10"/>
            <rFont val="Arial"/>
            <family val="2"/>
          </rPr>
          <t>Elatusvelvollisen mahdollisen uuden puolison samassa taloudessa asuvat lapset tai jommankumman puolison täysikäisiä lapsia. Lukumäärä otetaan huomioon ainoastaan laskennallisessa vuokramenossa.</t>
        </r>
      </text>
    </comment>
    <comment ref="C25" authorId="1" shapeId="0" xr:uid="{62818EAE-735B-4AE1-AC5B-90D163FBC79A}">
      <text>
        <r>
          <rPr>
            <sz val="10"/>
            <rFont val="Arial"/>
            <family val="2"/>
          </rPr>
          <t>Elatusvelvollisen  muille kuin elatuksensaajille maksettava elatusapua.</t>
        </r>
      </text>
    </comment>
    <comment ref="C29" authorId="1" shapeId="0" xr:uid="{9CE85AFF-C0F6-4A37-A902-D89030FE078B}">
      <text>
        <r>
          <rPr>
            <sz val="10"/>
            <rFont val="Arial"/>
            <family val="2"/>
          </rPr>
          <t>Laske laskennalliset vuokramenot taloudessa asuvien henkilöiden lukumäärän mukaan. Vuokrataso ilmoitetaan Vakiot-sivulla ja sitä voidaan muuttaa tapauskohtaisestikin.</t>
        </r>
      </text>
    </comment>
    <comment ref="C30" authorId="1" shapeId="0" xr:uid="{737A57CC-AA13-43F9-9C94-AF9D78A49C33}">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31" authorId="1" shapeId="0" xr:uid="{2D4DD95A-6EA2-409F-85D5-5A57EB3F2C28}">
      <text>
        <r>
          <rPr>
            <sz val="10"/>
            <rFont val="Arial"/>
            <family val="2"/>
          </rPr>
          <t>Syötä tähän ne asumismenot jotka pitää ottaa huomioon mikäli olettamus on liian pieni</t>
        </r>
      </text>
    </comment>
    <comment ref="C33" authorId="1" shapeId="0" xr:uid="{6F778B89-7E8D-4AEE-8F41-582C5A434745}">
      <text>
        <r>
          <rPr>
            <sz val="10"/>
            <rFont val="Arial"/>
            <family val="2"/>
          </rPr>
          <t>Mikäli elatusvelvollisella on uusi puoliso jaetaan asumiskustannukset oletusarvon tai annetun prosenttiluvun mukaan.</t>
        </r>
      </text>
    </comment>
  </commentList>
</comments>
</file>

<file path=xl/sharedStrings.xml><?xml version="1.0" encoding="utf-8"?>
<sst xmlns="http://schemas.openxmlformats.org/spreadsheetml/2006/main" count="330" uniqueCount="263">
  <si>
    <t>ELIAS</t>
  </si>
  <si>
    <t>Yhteenveto – Elatusavun määrä</t>
  </si>
  <si>
    <t>Liite 1.</t>
  </si>
  <si>
    <t>Elatuskyky</t>
  </si>
  <si>
    <r>
      <t>Tulot</t>
    </r>
    <r>
      <rPr>
        <sz val="8"/>
        <rFont val="Arial"/>
        <family val="2"/>
      </rPr>
      <t xml:space="preserve"> </t>
    </r>
    <r>
      <rPr>
        <sz val="9"/>
        <rFont val="Arial"/>
        <family val="2"/>
      </rPr>
      <t>(myös lapsilisäkorotus)</t>
    </r>
  </si>
  <si>
    <t>Ennakkopidätys</t>
  </si>
  <si>
    <t>Nettotulot</t>
  </si>
  <si>
    <t>Huomioitavat asumiskustannukset</t>
  </si>
  <si>
    <t>Muu elatusvastuu</t>
  </si>
  <si>
    <t>Muut kustannukset</t>
  </si>
  <si>
    <t>Kustannukset yhteensä</t>
  </si>
  <si>
    <t>Elatuskykyperuste</t>
  </si>
  <si>
    <t>Suhteellinen peruste</t>
  </si>
  <si>
    <t>Osuus asumismenoista</t>
  </si>
  <si>
    <t>Lapsilisät</t>
  </si>
  <si>
    <t>Huomioitavat tulot</t>
  </si>
  <si>
    <t>Elatusvelvollisuuden jakaminen</t>
  </si>
  <si>
    <t>Osuus</t>
  </si>
  <si>
    <t>Per lapsi keskimäärin</t>
  </si>
  <si>
    <t>Kohtuullisuusarvioinnin perusteet</t>
  </si>
  <si>
    <t>Ei huomioidut asumismenot</t>
  </si>
  <si>
    <t>Elatusvelvollisuus</t>
  </si>
  <si>
    <t>Erotus</t>
  </si>
  <si>
    <t>Huomautuksia</t>
  </si>
  <si>
    <t>laskelmaan</t>
  </si>
  <si>
    <t>Perustiedot</t>
  </si>
  <si>
    <t>Yksinhuoltaja (Kyllä/Ei)</t>
  </si>
  <si>
    <t>Ei</t>
  </si>
  <si>
    <t>Osuus yhteisistä menoista (oletus)</t>
  </si>
  <si>
    <t>Poikkeava osuus %</t>
  </si>
  <si>
    <t xml:space="preserve">   </t>
  </si>
  <si>
    <t>Vanhemman tulot</t>
  </si>
  <si>
    <t>Bruttotulot</t>
  </si>
  <si>
    <t>Lapsilisää saavien määrä yhteensä</t>
  </si>
  <si>
    <t>Kaikki lapsilisäkorotukset</t>
  </si>
  <si>
    <t>Tulot yhteensä</t>
  </si>
  <si>
    <t>Lasten tulot</t>
  </si>
  <si>
    <t>Elatuksensaajista lapsilisää saavien määrä</t>
  </si>
  <si>
    <t>Elatuksensaajien osuus lapsilisistä</t>
  </si>
  <si>
    <t>Elatuksensaajien huomioitavat tulot</t>
  </si>
  <si>
    <t>Muiden elätettävien elatusapu tai elatustuki</t>
  </si>
  <si>
    <t xml:space="preserve"> </t>
  </si>
  <si>
    <t>Lapset taloudessa – lukumäärät, iät ja vakiomenot</t>
  </si>
  <si>
    <t>Elatuksensaajat</t>
  </si>
  <si>
    <t>Yhteisiä uuden puolison kanssa – osuus</t>
  </si>
  <si>
    <t>Lähivanhemman muut lapset</t>
  </si>
  <si>
    <t>Muut henkilöt esim. puolison lapset</t>
  </si>
  <si>
    <t>Yhteensä</t>
  </si>
  <si>
    <t>Elatusapu muualle asuvalle</t>
  </si>
  <si>
    <t>Elatuksen saajien erityismenot – erittely</t>
  </si>
  <si>
    <t>Erityismenot yhteensä</t>
  </si>
  <si>
    <t>Selitys ja määrä</t>
  </si>
  <si>
    <t>Asumismenot ja muut menot</t>
  </si>
  <si>
    <t>Todelliset asumismenot erittelyn mukaan</t>
  </si>
  <si>
    <t>Laskennallinen vuokrameno</t>
  </si>
  <si>
    <t>Asumismenot – olettamus</t>
  </si>
  <si>
    <t>Poikkeavat asumismenot</t>
  </si>
  <si>
    <t>Lähivanhemman osuus</t>
  </si>
  <si>
    <t>Lähivanhemman muut menot</t>
  </si>
  <si>
    <t>Kyllä</t>
  </si>
  <si>
    <t>Liite 3.</t>
  </si>
  <si>
    <t>Asumismenojen erittely – Elatuslaskenta</t>
  </si>
  <si>
    <t>Liite 4.</t>
  </si>
  <si>
    <t>Lähivanhemman asumismenot</t>
  </si>
  <si>
    <t>&lt;&lt;&lt;</t>
  </si>
  <si>
    <t>Asumismenot yhteensä</t>
  </si>
  <si>
    <t>Asumistuki</t>
  </si>
  <si>
    <t>Selitys</t>
  </si>
  <si>
    <t>Euromäärä</t>
  </si>
  <si>
    <t>Elatusvelvollisen asumismenot</t>
  </si>
  <si>
    <t>Vakiot – elatusvelvollisuuslaskenta</t>
  </si>
  <si>
    <t>Lasten yleiskustannukset</t>
  </si>
  <si>
    <t>Ikä</t>
  </si>
  <si>
    <t>Vanhempien yleiset elinkustannukset</t>
  </si>
  <si>
    <t>Aviosääty</t>
  </si>
  <si>
    <t>Yksinhuoltaja</t>
  </si>
  <si>
    <t>Avio/avoliitto</t>
  </si>
  <si>
    <t>Luonapitovähennykset</t>
  </si>
  <si>
    <t>Vrk</t>
  </si>
  <si>
    <t>Ikäjakautuma</t>
  </si>
  <si>
    <t>Asumismenojen osuusperusteet</t>
  </si>
  <si>
    <t>Lkm</t>
  </si>
  <si>
    <t>Osuus yhteensä</t>
  </si>
  <si>
    <t>Laskennallisen vuokran perusteet</t>
  </si>
  <si>
    <t>Neliöhinta</t>
  </si>
  <si>
    <t>Neliömäärä 1.</t>
  </si>
  <si>
    <t>Neliömäärä n.</t>
  </si>
  <si>
    <t>Muutoshistoria – Elias 2</t>
  </si>
  <si>
    <t>Täysin uusi versio – pohjautuu versioon 1.0 mutta paljon rakenteellisia muutoksia</t>
  </si>
  <si>
    <t>Mm. korjattu asumismenojen osuuden laskenta laskelmassa (prosentti kaikki vanhemman lapsen mukaan ja osuus elatuksensaajien määrän mukaan), korjattu luonapitovähennyksen vienti laskelmaan, lisätty kaava joka ottaa huomioon mikäli laskennallinen elatusapu ylittää elatusmaksukykyä. Lisätty kenttä asumistukea varten asumiskustannusten erittelyihin. Julkaistu.</t>
  </si>
  <si>
    <r>
      <t>Kehitetty laskuri siten että Laskelma-sivuun on lisätty tekstikehys huomautuksia</t>
    </r>
    <r>
      <rPr>
        <u/>
        <sz val="10"/>
        <rFont val="Arial"/>
        <family val="2"/>
      </rPr>
      <t xml:space="preserve"> yms varten</t>
    </r>
    <r>
      <rPr>
        <sz val="10"/>
        <rFont val="Arial"/>
        <family val="2"/>
      </rPr>
      <t xml:space="preserve">. Mikäi tekee useita versioita samassa asiassa voidaan niitä pitää erillään näiden huomautuksien avulla. Elias laskee nyt </t>
    </r>
    <r>
      <rPr>
        <u/>
        <sz val="10"/>
        <rFont val="Arial"/>
        <family val="2"/>
      </rPr>
      <t>lapsilisäerät</t>
    </r>
    <r>
      <rPr>
        <sz val="10"/>
        <rFont val="Arial"/>
        <family val="2"/>
      </rPr>
      <t xml:space="preserve"> Vakioihin lisätyn taulukkon mukaan. Tarkista solukommentteissa olevat ohjeet.</t>
    </r>
  </si>
  <si>
    <t>Korjattu asumismenojen littyviä suojasvirheitä. Nyt voi syötä asumistuen määriä erittelysivulle.</t>
  </si>
  <si>
    <t>Korjattu siten että puolisoiden väliset elatussuhteet toimivat oikein myös elinkustunnusten osalta. On nyt korkeintaan 840 euro eli 100 % (420 + 420). Laskelma-sivun huomatuskenttä korjattu toimivaksi. Tekstikorjauksia.</t>
  </si>
  <si>
    <t>Korjattu luonapitovähennysten laskenta</t>
  </si>
  <si>
    <t>Korjattu lasten osuuden laskeminen asumiskustannnuksista. Julkaistu ruotsinkielinen versio.</t>
  </si>
  <si>
    <t>Korjattu lapsilisälaskenta niissä tapauksissa missä vanhemmat eivät saa korotuksia koska eivät ole yksinhuoltajia eli elävät uudessa suhteessa.</t>
  </si>
  <si>
    <t>Korjattu lapsilisän korotuslaskenta elatusvelvollisen osalta. Edellinen korjauksen korjaus!</t>
  </si>
  <si>
    <t>Edellisen korjauksen korjaus eli sama virhe oli myös laskelmassa</t>
  </si>
  <si>
    <t>Kehitetty ulkoasua sekä lisätty lapsilisien uudet määrät 1.1.2009 alkaen</t>
  </si>
  <si>
    <t>HUOM! Lisätty kenttä elatusvelvollisen muiden lasten elatusapua varten</t>
  </si>
  <si>
    <t>Korjaus. Lähivanhemman muiden lasten saaman elatusavun huomioiminen laskelmasivulla korjattu</t>
  </si>
  <si>
    <t>Vakiomäärien muuttaminen korotuksien mukaan 1.1.2011 (lasten yleiskustannukset, vanhempien elinkustannukset sekä luonapitovähennykset)</t>
  </si>
  <si>
    <t>Korjattu lapsilisäkorotuksen määrä sekä tietyt ohjetekstit</t>
  </si>
  <si>
    <t>Lapsilisien uudet määrät 1.2.2012</t>
  </si>
  <si>
    <t>Vakiomäärien muuttaminen korotuksien mukaan 1.1.2012 (lasten yleiskustannukset, vanhempien elinkustannukset sekä luonapitovähennykset)</t>
  </si>
  <si>
    <t>Vakiomäärien muuttaminen korotuksien mukaan 1.1.2013 (lasten yleiskustannukset, vanhempien elinkustannukset sekä luonapitovähennykset)</t>
  </si>
  <si>
    <t>Vakiomäärien muuttaminen korotuksien mukaan 1.1.2014 (lasten yleiskustannukset, vanhempien elinkustannukset sekä luonapitovähennykset)</t>
  </si>
  <si>
    <t>Vakiomäärien päivittäminen 1.1.2015 (lapsilisien määrät sekä lasten yleiskustannukset, vanhempien elinkustannukset sekä luonapitovähennykset)</t>
  </si>
  <si>
    <t>Korjattu virhe lapsilisien laskennassa jos enemmän kuin 5 lasta josta vähemmän kuin viisi elatuksensaajaa</t>
  </si>
  <si>
    <t>Vakiomäärien päivittäminen 1.1.2016 (lasten yleiskustannukset ja vanhempien elinkustannukset)</t>
  </si>
  <si>
    <t>Vakiomäärien päivittäminen 1.1.2017 (lasten yleiskustannukset ja vanhempien elinkustannukset sekä lapsilisät)</t>
  </si>
  <si>
    <t>Vakiomäärien päivittäminen 1.1.2018 (lasten yleiskustannukset ja vanhempien elinkustannukset sekä lapsilisät)</t>
  </si>
  <si>
    <t>Lisätty toiminnallisuutta koskien luonapitovähennyksen laskenta kun vanhempien elatuskyky alittaa lapsen/lasten tarvetta (tarkennettu 14.5.2018 ja 7.6.2018)</t>
  </si>
  <si>
    <t>Vakiomäärien päivittäminen 1.1.2019 (lasten yleiskustannukset ja vanhempien elinkustannukset)</t>
  </si>
  <si>
    <t>Vakiomäärien päivittäminen 1.1.2020 (lasten yleiskustannukset ja vanhempien elinkustannukset sekä lapsilisät)</t>
  </si>
  <si>
    <t>Vakiomäärien päivittäminen 1.1.2021 (lasten yleiskustannukset ja vanhempien elinkustannukset)</t>
  </si>
  <si>
    <t>Vakiomäärien päivittäminen 1.1.2022 (lasten yleiskustannukset ja vanhempien elinkustannukset)</t>
  </si>
  <si>
    <t>Vakiomäärien päivittäminen 1.1.2023 (lasten yleiskustannukset ja vanhempien elinkustannukset sekä lapsilisän yksinhuoltajakorotus)</t>
  </si>
  <si>
    <t xml:space="preserve">Versio 3.0    </t>
  </si>
  <si>
    <t>Uusi vuoroasumista huomoiva versio 3 julkaistu</t>
  </si>
  <si>
    <t>Asumismenojen erittely</t>
  </si>
  <si>
    <t>Perhe A – vanhemman talous</t>
  </si>
  <si>
    <t>Perhe B</t>
  </si>
  <si>
    <t>Perhe A</t>
  </si>
  <si>
    <t>Perhe B – vanhemman talous</t>
  </si>
  <si>
    <t>Elatuksensaajat yhteenveto</t>
  </si>
  <si>
    <t>Yleiset kustannuket</t>
  </si>
  <si>
    <t>Erityiset kustannukset</t>
  </si>
  <si>
    <t>Vanhempien lasten lukumäärä</t>
  </si>
  <si>
    <t>Vanhempien osuus</t>
  </si>
  <si>
    <t>Elatuksensaajien osuudet asumisesta</t>
  </si>
  <si>
    <t>Luotu uusi versio vuoroasumislaskenta varten</t>
  </si>
  <si>
    <t>Merkintä elatustukea varten</t>
  </si>
  <si>
    <t>Merkintä mahdollinen</t>
  </si>
  <si>
    <t>Elatustuki</t>
  </si>
  <si>
    <t>Vanhempien omat elinkustannukset</t>
  </si>
  <si>
    <t>Vaihtoehtoinen elatuskyky</t>
  </si>
  <si>
    <t>Laskennallisen elatustuen määrä</t>
  </si>
  <si>
    <t>Korjattu kaavavirheitä ja tehty parannuksia</t>
  </si>
  <si>
    <t>Elatusapu</t>
  </si>
  <si>
    <t>Laskennallinen euromääräinen osuus</t>
  </si>
  <si>
    <t>Korjattu kaavavirhe Perhe A lasten lukumäärän laskennassa</t>
  </si>
  <si>
    <t>Korjattu elatusavun laskenta. Laskee oikein kun elatusapukykyperuste pienempi kuin laskennallinen osuus ja laskennallinen osuus pienempi kun lasten kustannukset perheessä.</t>
  </si>
  <si>
    <t>Korjattu virhe lapsilisien laskennassa jos enemmän kuin 5 lasta.</t>
  </si>
  <si>
    <t>Vakiomäärien päivittäminen 1.1.2024 (lasten yleiskustannukset ja vanhempien elinkustannukset sekä lapsilisät. Huomioitu myös 1.4. voimaan tuleva lapsilisäkorotus alle 3 vuotiaiden lasten osalta)</t>
  </si>
  <si>
    <t>Korotukset;</t>
  </si>
  <si>
    <t>* yksinhuoltaja</t>
  </si>
  <si>
    <t>* alle 3 vuotias</t>
  </si>
  <si>
    <t>Börja</t>
  </si>
  <si>
    <t>Beräkning av underhåll enligt JM:s direktiv</t>
  </si>
  <si>
    <t>Uppgjord av led. offentliga rättsbiträdet Martin Melin</t>
  </si>
  <si>
    <t>Epost förnamn.efternamn (at) oikeus.fi</t>
  </si>
  <si>
    <t>Den här räknaren får fritt användas på eget ansvar. Ifall den ändras bör den ändrade versionen på samma sätt vara fri att använda. Jusitieministeriet bär inget ansvar för räknarens uppdateringar eller innehåll. Alla kommentar sänds till Martin Melin.</t>
  </si>
  <si>
    <t>Spec ...</t>
  </si>
  <si>
    <t>Förteckning över ändringar och uppdateringar</t>
  </si>
  <si>
    <t>Ändringshistorik</t>
  </si>
  <si>
    <t>En helt ny version – grundar sig på version 1.0 (endast på finska) men med många strukturella förändringar</t>
  </si>
  <si>
    <t>Bland annat korrigerat beräkning av andelen av boendekostnaderna (procent i enlighet med alla barn och andel i enligt antalet som får underhåll), korrigerat umgängesavdraget i sammandraget, lagt till ett formel som beaktar ifall det beräknade underhållsbidraget överstiger förmågan att betala underhåll. Lagt till ett fält för bostadsbidrag på sidan för specifikation av boendekostnader. Publicerad.</t>
  </si>
  <si>
    <t>Utveckat räknarenså att Sammandragssidan fått ett fält för anmärkningar och motsvarande.  Ifall man gör olika versioner i samma ärende kan man hålla dessa i sär genom att anteckningar i detta fält. Elias räknar nu också ut barnbidragen enligt en tabell i Grunduppgifterna. Observera direktiven i cellkommentarerna.</t>
  </si>
  <si>
    <t>Korrgerat skyddsfel gällande boendekostnaderna. Nu kan man ange bostadsbidrag som det är tänkt.</t>
  </si>
  <si>
    <t>Korrigerad så att underhållsskyldighet mellan makarna fungar korrekt även gällande deras levnadskostnader. De är nu högst 840 euro dvs 100 % av 420 + 420. Anmärkningsfältet på Sammandragssidan korrigerats så att det fungerar.. Korrigeringar av teksten (finska).</t>
  </si>
  <si>
    <t>Korrigerat beräkningen av umgängesavdrag</t>
  </si>
  <si>
    <t>Korrigerat beräkningen av barnens andel av boendekostnaderna. Publicerat svensk version</t>
  </si>
  <si>
    <t>Korrigerat beräkningen barnbidragsförhöjningen i de fall när föräldrarna inte är ensamförsörjare utan bor i ett nytt förhållande.</t>
  </si>
  <si>
    <t>Korrigerat beräkningen av barnbidragsförhöjningen gällande underhållsskyldige. Korrigering av föregående korrigering</t>
  </si>
  <si>
    <t>Korrigering av föregående korrigering. Felet fanns även i Sammandraget.</t>
  </si>
  <si>
    <t>Utvecklat utseendet och lagt in barnbidragsbelopp som gäller från och med 1.1.2009. Korrigerat den svenska versionen till den del gäller delning av kostnader.</t>
  </si>
  <si>
    <t>OBS! Satt till ett fält för det underhåll den underhållskyldiges egna barn erhåller.</t>
  </si>
  <si>
    <t>Korrigerat så att det underhåll boendeförälderns övriga barn erhåller beaktas i sammandraget.</t>
  </si>
  <si>
    <t>Korrigerat med de nya grunduppgifter som träder i kraft 1.1.2011 (allmänna kostnader och avdrag för umgänge)</t>
  </si>
  <si>
    <t>Ändrat beloppet för barnbidragets förhöjning</t>
  </si>
  <si>
    <t>Barnbidragens nya belopp 1.1.2012</t>
  </si>
  <si>
    <t>Korrigerat med de nya grunduppgifter som trädde i kraft 1.1.2012 (allmänna kostnader och avdrag för umgänge)</t>
  </si>
  <si>
    <t>Korrigerat med de nya grunduppgifter som trädde i kraft 1.1.2013 (allmänna kostnader och avdrag för umgänge)</t>
  </si>
  <si>
    <t>Korrigerat med de nya grunduppgifter som trädde i kraft 1.1.2014 (allmänna kostnader och avdrag för umgänge)</t>
  </si>
  <si>
    <t>Korrigerat med de nya grunduppgifter som trädde i kraft 1.1.2015 (allmänna kostnader och avdrag för umgänge samt barnbidragsförändringarna)</t>
  </si>
  <si>
    <t>Korrigerat fel vid beräkning av barnbidrag då sex eller flera får barnbidrag men mindre antal söker underhåll</t>
  </si>
  <si>
    <t>Korrigerat med de nya grunduppgifter som trädde i kraft 1.1.2016 (allmänna kostnader)</t>
  </si>
  <si>
    <t>Korrigerat med de nya grunduppgifter som trädde i kraft 1.1.2017 (allmänna kostnader, barnbidrag)</t>
  </si>
  <si>
    <t>Korrigerat med de nya grunduppgifter som trädde i kraft 1.1.2018 (allmänna kostnader, barnbidrag)</t>
  </si>
  <si>
    <t>Lagt till beräkning av umgängesavdraget när föräldrarnas underhållsförmåga inte täcker barnens behov</t>
  </si>
  <si>
    <t>Korrigerat med de nya grunduppgifter som trädde i kraft 1.1.2019 (allmänna kostnader)</t>
  </si>
  <si>
    <t>Korrigerat med de nya grunduppgifter som trädde i kraft 1.1.2020 (allmänna kostnader och barnbidrag)</t>
  </si>
  <si>
    <t>Korrigerat med de nya grunduppgifter som trädde i kraft 1.1.2021 (allmänna kostnader)</t>
  </si>
  <si>
    <t>Korrigerat med de nya grunduppgifter som trädde i kraft 1.1.2022 (allmänna kostnader)</t>
  </si>
  <si>
    <t>Korrigerat med de nya grunduppgifter som trädde i kraft 1.1.2023 (allmänna kostnader och barnbidragets ensamförsörjartillägg)</t>
  </si>
  <si>
    <t>Korrigerat beräkning av barnbidrag om fler än 5 barn erhåller bidraget</t>
  </si>
  <si>
    <t>Korrigerat med de nya grunduppgifter som trädde i kraft 1.1.2024 (allmänna kostnader och barnbidragets ensamförsörjartillägg samt barnbidrag, Beaktat även ändringen av barnbidrag som träder i kraft 1.4 med en extra förhöjning för barn under 3 år.)</t>
  </si>
  <si>
    <t>En ny version publicerad - beaktar veckovist boende</t>
  </si>
  <si>
    <t>En ny version publicerad</t>
  </si>
  <si>
    <t>Korrigerat fel i formler och gjort förbättringar</t>
  </si>
  <si>
    <t>Koriggerat formelfel gällande antalet barn i Familj A</t>
  </si>
  <si>
    <t>I räknaren finns kommentarer infogade på vissa punkter. Kommentarerna ses som små röda trianglar i respektive cell. Texten i kommentaren blir synlig när man för muspekaren över en sådan cell.</t>
  </si>
  <si>
    <t>Version 3 har skapats fört att det skall gå att tilläämpa anvisningarna gällande veckovist boende. Underhållstagarnas uppgifter finns på en egen flik. De tidigare flikarna Underhållskyldiges familj och Boendeförälderns familj har ändrats  till flikarna Familj A och Familj B och specifikationerna för boendekostnaderan har flyttas till respektive familj. Version 2 används fortsättningsvis i övriga fall.</t>
  </si>
  <si>
    <t>Underhållstagare</t>
  </si>
  <si>
    <t>Underhållstagare – antal, åldrar, allmänna kostnader och inkomster</t>
  </si>
  <si>
    <t>Allmänna kostnader</t>
  </si>
  <si>
    <t>Fördelningsförhållande</t>
  </si>
  <si>
    <t>Familj A</t>
  </si>
  <si>
    <t>Familj B</t>
  </si>
  <si>
    <t>Underhållstagarnas inkomster - specifikation</t>
  </si>
  <si>
    <t>Barnbidrag</t>
  </si>
  <si>
    <t>Antal</t>
  </si>
  <si>
    <t>Belopp</t>
  </si>
  <si>
    <t>Inkomster sammnlagt</t>
  </si>
  <si>
    <t>Underhållstagarnas särskilda kostnader – specifikation</t>
  </si>
  <si>
    <t>Förklaring och belopp</t>
  </si>
  <si>
    <t>Grunduppgifter – Beräkning av underhåll</t>
  </si>
  <si>
    <t>Barnens allmänna kostnader</t>
  </si>
  <si>
    <t>Ålder</t>
  </si>
  <si>
    <t>Föräldrarnas allmänna kostnader</t>
  </si>
  <si>
    <t>Civilstånd</t>
  </si>
  <si>
    <t>Ensam</t>
  </si>
  <si>
    <t>Gift/sambo</t>
  </si>
  <si>
    <t>Umgängesavdrag</t>
  </si>
  <si>
    <t>Dygn</t>
  </si>
  <si>
    <t>Åldersfördelning</t>
  </si>
  <si>
    <t>Boendekostnadernas fördelningsgrunder</t>
  </si>
  <si>
    <t>Andel</t>
  </si>
  <si>
    <t>Andel sammanlagt</t>
  </si>
  <si>
    <t>Grunder för beräknad hyra</t>
  </si>
  <si>
    <t>Euro/m2</t>
  </si>
  <si>
    <t>M2 pers 1</t>
  </si>
  <si>
    <t>M2 pers n</t>
  </si>
  <si>
    <t>Förhöjningar;</t>
  </si>
  <si>
    <t>* ensamförsörj.</t>
  </si>
  <si>
    <t>* under 3 år</t>
  </si>
  <si>
    <t>Familj A – förälderns ekonomi</t>
  </si>
  <si>
    <t>Bilaga 3.</t>
  </si>
  <si>
    <t>Bilaga 2.</t>
  </si>
  <si>
    <t>Familjens namn eller beskrivning</t>
  </si>
  <si>
    <t>Grunduppgifter</t>
  </si>
  <si>
    <t>Ensamförsörjare (Ja/Nej)</t>
  </si>
  <si>
    <t>Antagen andel av gemensamma kostnader</t>
  </si>
  <si>
    <t>Avvikande andel %</t>
  </si>
  <si>
    <t>Bruttoinkomster</t>
  </si>
  <si>
    <t>Förskottsinnehållning</t>
  </si>
  <si>
    <t>Antal barn som erhåller barnbidrag tot.</t>
  </si>
  <si>
    <t>Av vilka under 3 år</t>
  </si>
  <si>
    <t>Förälderns inkomster</t>
  </si>
  <si>
    <t>Ensamförsörjarens barnbidragsförhöjningar</t>
  </si>
  <si>
    <t>Bostadsbidrag</t>
  </si>
  <si>
    <t>Boendeutgifter - specifikation</t>
  </si>
  <si>
    <t>Eurobelopp</t>
  </si>
  <si>
    <t>Förälderns övriga utgifter</t>
  </si>
  <si>
    <t>Förälderns andel</t>
  </si>
  <si>
    <t>Avvikande boendeutgifter</t>
  </si>
  <si>
    <t>Antagna boendeutgifter</t>
  </si>
  <si>
    <t>Verkliga boendeutgifter enligt specifikationen</t>
  </si>
  <si>
    <t>Beräknad hyreskostnad</t>
  </si>
  <si>
    <t>Boendeutgifter och andra utgifter</t>
  </si>
  <si>
    <t>Underhållsbidrag - utom familjen boende barn</t>
  </si>
  <si>
    <t>Sammanlagt</t>
  </si>
  <si>
    <t>Övriga personer t.ex. makens barn</t>
  </si>
  <si>
    <t>Förälderns övriga barns inkomster</t>
  </si>
  <si>
    <t>Förälderns övriga barn</t>
  </si>
  <si>
    <t>Gemensamma med ny make – andel</t>
  </si>
  <si>
    <t>Övriga barn i hushållet – antal, åldrar och allmänna kostnader</t>
  </si>
  <si>
    <t>Nej</t>
  </si>
  <si>
    <t>Inkomster totalt</t>
  </si>
  <si>
    <t>Spec …</t>
  </si>
  <si>
    <t>Sammandrag ...</t>
  </si>
  <si>
    <t>Underhållsstöd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</si>
</sst>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22" x14ac:knownFonts="1">
    <font>
      <sz val="10"/>
      <name val="Arial"/>
      <family val="2"/>
    </font>
    <font>
      <b/>
      <sz val="12"/>
      <color indexed="16"/>
      <name val="Arial"/>
      <family val="2"/>
    </font>
    <font>
      <sz val="12"/>
      <name val="Arial"/>
      <family val="2"/>
    </font>
    <font>
      <sz val="36"/>
      <name val="Arial"/>
      <family val="2"/>
    </font>
    <font>
      <sz val="10"/>
      <color indexed="12"/>
      <name val="Arial"/>
      <family val="2"/>
    </font>
    <font>
      <b/>
      <sz val="12"/>
      <name val="Arial"/>
      <family val="2"/>
    </font>
    <font>
      <b/>
      <sz val="10"/>
      <name val="Arial"/>
      <family val="2"/>
    </font>
    <font>
      <sz val="11"/>
      <name val="Arial"/>
      <family val="2"/>
    </font>
    <font>
      <i/>
      <sz val="12"/>
      <name val="Arial"/>
      <family val="2"/>
    </font>
    <font>
      <sz val="8"/>
      <name val="Arial"/>
      <family val="2"/>
    </font>
    <font>
      <sz val="9"/>
      <name val="Arial"/>
      <family val="2"/>
    </font>
    <font>
      <sz val="12"/>
      <color indexed="16"/>
      <name val="Arial"/>
      <family val="2"/>
    </font>
    <font>
      <sz val="10.5"/>
      <name val="Arial"/>
      <family val="2"/>
    </font>
    <font>
      <b/>
      <sz val="10.5"/>
      <name val="Arial"/>
      <family val="2"/>
    </font>
    <font>
      <sz val="12"/>
      <color indexed="9"/>
      <name val="Arial"/>
      <family val="2"/>
    </font>
    <font>
      <u/>
      <sz val="10"/>
      <name val="Arial"/>
      <family val="2"/>
    </font>
    <font>
      <u/>
      <sz val="10"/>
      <color theme="10"/>
      <name val="Arial"/>
      <family val="2"/>
    </font>
    <font>
      <sz val="9"/>
      <color indexed="81"/>
      <name val="Tahoma"/>
      <family val="2"/>
    </font>
    <font>
      <b/>
      <sz val="9"/>
      <color indexed="81"/>
      <name val="Tahoma"/>
      <family val="2"/>
    </font>
    <font>
      <sz val="12"/>
      <color rgb="FFC00000"/>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indexed="9"/>
        <bgColor indexed="26"/>
      </patternFill>
    </fill>
  </fills>
  <borders count="25">
    <border>
      <left/>
      <right/>
      <top/>
      <bottom/>
      <diagonal/>
    </border>
    <border>
      <left style="thin">
        <color indexed="16"/>
      </left>
      <right style="thin">
        <color indexed="16"/>
      </right>
      <top style="thin">
        <color indexed="16"/>
      </top>
      <bottom style="thin">
        <color indexed="16"/>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diagonal/>
    </border>
    <border>
      <left style="thin">
        <color indexed="20"/>
      </left>
      <right style="thin">
        <color indexed="20"/>
      </right>
      <top/>
      <bottom/>
      <diagonal/>
    </border>
    <border>
      <left style="thin">
        <color indexed="20"/>
      </left>
      <right style="thin">
        <color indexed="20"/>
      </right>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thin">
        <color indexed="20"/>
      </left>
      <right/>
      <top style="thin">
        <color indexed="20"/>
      </top>
      <bottom style="thin">
        <color indexed="20"/>
      </bottom>
      <diagonal/>
    </border>
    <border>
      <left/>
      <right/>
      <top style="thin">
        <color indexed="20"/>
      </top>
      <bottom style="thin">
        <color indexed="20"/>
      </bottom>
      <diagonal/>
    </border>
    <border>
      <left/>
      <right style="thin">
        <color indexed="20"/>
      </right>
      <top style="thin">
        <color indexed="20"/>
      </top>
      <bottom style="thin">
        <color indexed="2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dotted">
        <color indexed="8"/>
      </left>
      <right style="dotted">
        <color indexed="8"/>
      </right>
      <top style="dotted">
        <color indexed="8"/>
      </top>
      <bottom style="dotted">
        <color indexed="8"/>
      </bottom>
      <diagonal/>
    </border>
    <border>
      <left style="hair">
        <color indexed="8"/>
      </left>
      <right style="hair">
        <color indexed="8"/>
      </right>
      <top style="hair">
        <color indexed="8"/>
      </top>
      <bottom/>
      <diagonal/>
    </border>
    <border>
      <left style="dotted">
        <color indexed="8"/>
      </left>
      <right style="dotted">
        <color indexed="8"/>
      </right>
      <top style="dotted">
        <color indexed="8"/>
      </top>
      <bottom/>
      <diagonal/>
    </border>
  </borders>
  <cellStyleXfs count="4">
    <xf numFmtId="0" fontId="0" fillId="0" borderId="0"/>
    <xf numFmtId="3" fontId="1" fillId="0" borderId="1" applyAlignment="0">
      <protection locked="0"/>
    </xf>
    <xf numFmtId="0" fontId="2" fillId="0" borderId="2" applyNumberFormat="0" applyFill="0" applyAlignment="0" applyProtection="0"/>
    <xf numFmtId="0" fontId="16" fillId="0" borderId="0" applyNumberFormat="0" applyFill="0" applyBorder="0" applyAlignment="0" applyProtection="0"/>
  </cellStyleXfs>
  <cellXfs count="153">
    <xf numFmtId="0" fontId="0" fillId="0" borderId="0" xfId="0"/>
    <xf numFmtId="0" fontId="0" fillId="0" borderId="0" xfId="0" applyFill="1" applyProtection="1"/>
    <xf numFmtId="14" fontId="0" fillId="0" borderId="0" xfId="0" applyNumberFormat="1" applyFill="1" applyProtection="1"/>
    <xf numFmtId="0" fontId="0" fillId="0" borderId="0" xfId="0" applyProtection="1"/>
    <xf numFmtId="0" fontId="0" fillId="0" borderId="0" xfId="0" applyFill="1" applyBorder="1" applyProtection="1"/>
    <xf numFmtId="0" fontId="3" fillId="0" borderId="0" xfId="0" applyFont="1" applyFill="1" applyAlignment="1" applyProtection="1">
      <alignment horizontal="left"/>
    </xf>
    <xf numFmtId="0" fontId="4" fillId="0" borderId="0" xfId="0" applyFont="1" applyFill="1" applyProtection="1"/>
    <xf numFmtId="0" fontId="5" fillId="0" borderId="0" xfId="0" applyFont="1" applyFill="1" applyProtection="1"/>
    <xf numFmtId="0" fontId="6" fillId="0" borderId="0" xfId="0" applyFont="1" applyFill="1" applyProtection="1"/>
    <xf numFmtId="0" fontId="7" fillId="0" borderId="0" xfId="0" applyFont="1" applyFill="1" applyProtection="1"/>
    <xf numFmtId="0" fontId="7" fillId="0" borderId="0" xfId="0" applyFont="1" applyFill="1" applyAlignment="1" applyProtection="1">
      <alignment wrapText="1"/>
    </xf>
    <xf numFmtId="0" fontId="0" fillId="0" borderId="0" xfId="0" applyFill="1" applyAlignment="1" applyProtection="1">
      <alignment wrapText="1"/>
    </xf>
    <xf numFmtId="14" fontId="0" fillId="0" borderId="0" xfId="0" applyNumberFormat="1" applyFill="1" applyBorder="1" applyProtection="1"/>
    <xf numFmtId="0" fontId="2" fillId="0" borderId="0" xfId="0" applyFont="1" applyFill="1"/>
    <xf numFmtId="4" fontId="2" fillId="0" borderId="0" xfId="0" applyNumberFormat="1" applyFont="1" applyFill="1"/>
    <xf numFmtId="0" fontId="2" fillId="0" borderId="0" xfId="0" applyFont="1" applyFill="1" applyAlignment="1" applyProtection="1">
      <alignment horizontal="center"/>
    </xf>
    <xf numFmtId="0" fontId="5" fillId="0" borderId="0" xfId="0" applyFont="1" applyFill="1"/>
    <xf numFmtId="4" fontId="2" fillId="0" borderId="0" xfId="0" applyNumberFormat="1" applyFont="1" applyFill="1" applyAlignment="1">
      <alignment horizontal="right"/>
    </xf>
    <xf numFmtId="0" fontId="0" fillId="0" borderId="0" xfId="0" applyAlignment="1" applyProtection="1">
      <alignment horizontal="center"/>
    </xf>
    <xf numFmtId="0" fontId="5" fillId="0" borderId="0" xfId="0" applyFont="1"/>
    <xf numFmtId="0" fontId="8" fillId="0" borderId="0" xfId="0" applyFont="1"/>
    <xf numFmtId="0" fontId="2" fillId="0" borderId="0" xfId="0" applyFont="1"/>
    <xf numFmtId="4" fontId="2" fillId="0" borderId="0" xfId="0" applyNumberFormat="1" applyFont="1"/>
    <xf numFmtId="0" fontId="2" fillId="0" borderId="0" xfId="0" applyFont="1" applyAlignment="1">
      <alignment horizontal="center"/>
    </xf>
    <xf numFmtId="0" fontId="2" fillId="0" borderId="0" xfId="0" applyFont="1" applyAlignment="1" applyProtection="1">
      <alignment horizontal="center"/>
    </xf>
    <xf numFmtId="0" fontId="8" fillId="0" borderId="0" xfId="0" applyFont="1" applyFill="1"/>
    <xf numFmtId="4" fontId="5" fillId="0" borderId="0" xfId="0" applyNumberFormat="1" applyFont="1" applyFill="1" applyAlignment="1">
      <alignment horizontal="right"/>
    </xf>
    <xf numFmtId="0" fontId="2" fillId="0" borderId="0" xfId="0" applyFont="1" applyProtection="1"/>
    <xf numFmtId="4" fontId="2" fillId="0" borderId="0" xfId="0" applyNumberFormat="1" applyFont="1" applyAlignment="1" applyProtection="1">
      <alignment horizontal="right"/>
    </xf>
    <xf numFmtId="1" fontId="2" fillId="0" borderId="0" xfId="0" applyNumberFormat="1" applyFont="1" applyFill="1"/>
    <xf numFmtId="4" fontId="5" fillId="0" borderId="0" xfId="0" applyNumberFormat="1" applyFont="1" applyFill="1"/>
    <xf numFmtId="0" fontId="5" fillId="0" borderId="0" xfId="0" applyFont="1" applyFill="1" applyAlignment="1" applyProtection="1">
      <alignment horizontal="center"/>
    </xf>
    <xf numFmtId="10" fontId="2" fillId="0" borderId="0" xfId="0" applyNumberFormat="1" applyFont="1" applyFill="1"/>
    <xf numFmtId="3" fontId="5" fillId="0" borderId="0" xfId="0" applyNumberFormat="1" applyFont="1" applyFill="1"/>
    <xf numFmtId="0" fontId="8" fillId="0" borderId="0" xfId="0" applyFont="1" applyProtection="1"/>
    <xf numFmtId="4" fontId="2" fillId="0" borderId="0" xfId="0" applyNumberFormat="1" applyFont="1" applyProtection="1"/>
    <xf numFmtId="4" fontId="2" fillId="2" borderId="0" xfId="0" applyNumberFormat="1" applyFont="1" applyFill="1" applyAlignment="1">
      <alignment horizontal="right"/>
    </xf>
    <xf numFmtId="4" fontId="2" fillId="2" borderId="0" xfId="0" applyNumberFormat="1" applyFont="1" applyFill="1" applyAlignment="1">
      <alignment horizontal="center"/>
    </xf>
    <xf numFmtId="4" fontId="2" fillId="0" borderId="0" xfId="0" applyNumberFormat="1" applyFont="1" applyBorder="1" applyAlignment="1" applyProtection="1">
      <alignment horizontal="right"/>
      <protection locked="0"/>
    </xf>
    <xf numFmtId="9" fontId="2" fillId="0" borderId="0" xfId="0" applyNumberFormat="1" applyFont="1" applyBorder="1" applyProtection="1"/>
    <xf numFmtId="0" fontId="2" fillId="0" borderId="0" xfId="0" applyFont="1" applyAlignment="1">
      <alignment horizontal="left"/>
    </xf>
    <xf numFmtId="10" fontId="2" fillId="0" borderId="4" xfId="0" applyNumberFormat="1" applyFont="1" applyBorder="1" applyProtection="1">
      <protection locked="0"/>
    </xf>
    <xf numFmtId="10" fontId="2" fillId="0" borderId="0" xfId="0" applyNumberFormat="1" applyFont="1" applyBorder="1" applyProtection="1">
      <protection locked="0"/>
    </xf>
    <xf numFmtId="4" fontId="2" fillId="0" borderId="5" xfId="0" applyNumberFormat="1" applyFont="1" applyBorder="1" applyProtection="1">
      <protection locked="0"/>
    </xf>
    <xf numFmtId="4" fontId="2" fillId="0" borderId="6" xfId="0" applyNumberFormat="1" applyFont="1" applyBorder="1" applyProtection="1">
      <protection locked="0"/>
    </xf>
    <xf numFmtId="3" fontId="2" fillId="0" borderId="7" xfId="0" applyNumberFormat="1" applyFont="1" applyBorder="1" applyProtection="1">
      <protection locked="0"/>
    </xf>
    <xf numFmtId="4" fontId="2" fillId="0" borderId="0" xfId="0" applyNumberFormat="1" applyFont="1" applyBorder="1" applyProtection="1"/>
    <xf numFmtId="4" fontId="2" fillId="0" borderId="0" xfId="0" applyNumberFormat="1" applyFont="1" applyBorder="1" applyProtection="1">
      <protection locked="0"/>
    </xf>
    <xf numFmtId="0" fontId="8" fillId="0" borderId="0" xfId="0" applyFont="1" applyAlignment="1">
      <alignment horizontal="center"/>
    </xf>
    <xf numFmtId="1" fontId="2" fillId="0" borderId="4" xfId="0" applyNumberFormat="1" applyFont="1" applyBorder="1" applyProtection="1">
      <protection locked="0"/>
    </xf>
    <xf numFmtId="4" fontId="2" fillId="0" borderId="7" xfId="0" applyNumberFormat="1" applyFont="1" applyBorder="1" applyProtection="1">
      <protection locked="0"/>
    </xf>
    <xf numFmtId="0" fontId="2" fillId="0" borderId="0" xfId="0" applyFont="1" applyBorder="1"/>
    <xf numFmtId="0" fontId="11" fillId="0" borderId="0" xfId="0" applyFont="1" applyAlignment="1" applyProtection="1">
      <alignment horizontal="center"/>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4" xfId="0" applyFont="1" applyBorder="1" applyProtection="1">
      <protection locked="0"/>
    </xf>
    <xf numFmtId="4" fontId="2" fillId="0" borderId="4" xfId="0" applyNumberFormat="1" applyFont="1" applyBorder="1" applyProtection="1">
      <protection locked="0"/>
    </xf>
    <xf numFmtId="2" fontId="2" fillId="0" borderId="0" xfId="0" applyNumberFormat="1" applyFont="1"/>
    <xf numFmtId="0" fontId="12" fillId="0" borderId="0" xfId="0" applyFont="1"/>
    <xf numFmtId="0" fontId="13" fillId="0" borderId="0" xfId="0" applyFont="1"/>
    <xf numFmtId="4" fontId="12" fillId="0" borderId="0" xfId="0" applyNumberFormat="1" applyFont="1"/>
    <xf numFmtId="4" fontId="2" fillId="0" borderId="0" xfId="0" applyNumberFormat="1" applyFont="1" applyBorder="1"/>
    <xf numFmtId="2" fontId="12" fillId="0" borderId="0" xfId="0" applyNumberFormat="1" applyFont="1" applyBorder="1" applyProtection="1">
      <protection locked="0"/>
    </xf>
    <xf numFmtId="0" fontId="2" fillId="0" borderId="0" xfId="0" applyFont="1" applyFill="1" applyProtection="1"/>
    <xf numFmtId="4" fontId="2" fillId="0" borderId="0" xfId="0" applyNumberFormat="1" applyFont="1" applyAlignment="1">
      <alignment horizontal="right"/>
    </xf>
    <xf numFmtId="0" fontId="2" fillId="0" borderId="0" xfId="0" applyFont="1" applyFill="1" applyAlignment="1">
      <alignment horizontal="center"/>
    </xf>
    <xf numFmtId="0" fontId="0" fillId="0" borderId="0" xfId="0" applyFill="1"/>
    <xf numFmtId="4" fontId="2" fillId="0" borderId="0" xfId="0" applyNumberFormat="1" applyFont="1" applyFill="1" applyAlignment="1">
      <alignment horizontal="center"/>
    </xf>
    <xf numFmtId="2" fontId="2" fillId="0" borderId="0" xfId="0" applyNumberFormat="1" applyFont="1" applyFill="1"/>
    <xf numFmtId="4" fontId="2" fillId="0" borderId="4" xfId="0" applyNumberFormat="1" applyFont="1" applyFill="1" applyBorder="1" applyProtection="1">
      <protection locked="0"/>
    </xf>
    <xf numFmtId="0" fontId="12" fillId="0" borderId="0" xfId="0" applyFont="1" applyFill="1"/>
    <xf numFmtId="0" fontId="13" fillId="0" borderId="0" xfId="0" applyFont="1" applyFill="1"/>
    <xf numFmtId="4" fontId="12" fillId="0" borderId="0" xfId="0" applyNumberFormat="1" applyFont="1" applyFill="1"/>
    <xf numFmtId="4" fontId="2" fillId="0" borderId="5" xfId="0" applyNumberFormat="1" applyFont="1" applyFill="1" applyBorder="1" applyProtection="1">
      <protection locked="0"/>
    </xf>
    <xf numFmtId="0" fontId="2" fillId="0" borderId="0" xfId="0" applyFont="1" applyFill="1" applyBorder="1"/>
    <xf numFmtId="4" fontId="2" fillId="0" borderId="0" xfId="0" applyNumberFormat="1" applyFont="1" applyFill="1" applyBorder="1"/>
    <xf numFmtId="4" fontId="2" fillId="0" borderId="6" xfId="0" applyNumberFormat="1" applyFont="1" applyFill="1" applyBorder="1" applyProtection="1">
      <protection locked="0"/>
    </xf>
    <xf numFmtId="4" fontId="2" fillId="0" borderId="7" xfId="0" applyNumberFormat="1" applyFont="1" applyFill="1" applyBorder="1" applyProtection="1">
      <protection locked="0"/>
    </xf>
    <xf numFmtId="0" fontId="5" fillId="0" borderId="0" xfId="0" applyFont="1" applyAlignment="1">
      <alignment horizontal="left"/>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14" fillId="0" borderId="0" xfId="0" applyFont="1"/>
    <xf numFmtId="0" fontId="2" fillId="0" borderId="8" xfId="0"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0" fontId="2" fillId="0" borderId="0" xfId="0" applyFont="1" applyBorder="1" applyProtection="1">
      <protection locked="0"/>
    </xf>
    <xf numFmtId="164" fontId="2" fillId="0" borderId="11" xfId="0" applyNumberFormat="1" applyFont="1" applyBorder="1" applyProtection="1">
      <protection locked="0"/>
    </xf>
    <xf numFmtId="164" fontId="2" fillId="0" borderId="0" xfId="0" applyNumberFormat="1" applyFont="1" applyProtection="1">
      <protection locked="0"/>
    </xf>
    <xf numFmtId="164" fontId="2" fillId="0" borderId="12" xfId="0" applyNumberFormat="1" applyFont="1" applyBorder="1" applyProtection="1">
      <protection locked="0"/>
    </xf>
    <xf numFmtId="164" fontId="2" fillId="0" borderId="13" xfId="0" applyNumberFormat="1" applyFont="1" applyBorder="1" applyProtection="1">
      <protection locked="0"/>
    </xf>
    <xf numFmtId="164" fontId="2" fillId="0" borderId="14" xfId="0" applyNumberFormat="1" applyFont="1" applyBorder="1" applyProtection="1">
      <protection locked="0"/>
    </xf>
    <xf numFmtId="164" fontId="2" fillId="0" borderId="15" xfId="0" applyNumberFormat="1" applyFont="1" applyBorder="1" applyProtection="1">
      <protection locked="0"/>
    </xf>
    <xf numFmtId="164" fontId="2" fillId="0" borderId="0" xfId="0" applyNumberFormat="1" applyFont="1"/>
    <xf numFmtId="10" fontId="2" fillId="0" borderId="5" xfId="0" applyNumberFormat="1" applyFont="1" applyBorder="1" applyProtection="1">
      <protection locked="0"/>
    </xf>
    <xf numFmtId="10" fontId="2" fillId="0" borderId="0" xfId="0" applyNumberFormat="1" applyFont="1"/>
    <xf numFmtId="10" fontId="2" fillId="0" borderId="6" xfId="0" applyNumberFormat="1" applyFont="1" applyBorder="1" applyProtection="1">
      <protection locked="0"/>
    </xf>
    <xf numFmtId="10" fontId="2" fillId="0" borderId="7" xfId="0" applyNumberFormat="1" applyFont="1" applyBorder="1" applyProtection="1">
      <protection locked="0"/>
    </xf>
    <xf numFmtId="39" fontId="2" fillId="0" borderId="0" xfId="0" applyNumberFormat="1" applyFont="1"/>
    <xf numFmtId="0" fontId="0" fillId="0" borderId="0" xfId="0" applyAlignment="1">
      <alignment vertical="top" wrapText="1"/>
    </xf>
    <xf numFmtId="14" fontId="0" fillId="0" borderId="0" xfId="0" applyNumberFormat="1" applyAlignment="1">
      <alignment vertical="top" wrapText="1"/>
    </xf>
    <xf numFmtId="0" fontId="6" fillId="0" borderId="0" xfId="0" applyFont="1" applyFill="1" applyAlignment="1" applyProtection="1">
      <alignment vertical="top" wrapText="1"/>
    </xf>
    <xf numFmtId="14" fontId="0" fillId="0" borderId="0" xfId="0" applyNumberFormat="1" applyFill="1" applyAlignment="1" applyProtection="1">
      <alignment vertical="top" wrapText="1"/>
    </xf>
    <xf numFmtId="0" fontId="0" fillId="0" borderId="3" xfId="0" applyFont="1" applyFill="1" applyBorder="1" applyAlignment="1" applyProtection="1">
      <alignment vertical="top" wrapText="1"/>
      <protection locked="0"/>
    </xf>
    <xf numFmtId="14" fontId="0" fillId="0" borderId="3" xfId="0" applyNumberFormat="1" applyFill="1" applyBorder="1" applyAlignment="1" applyProtection="1">
      <alignment vertical="top" wrapText="1"/>
      <protection locked="0"/>
    </xf>
    <xf numFmtId="0" fontId="0" fillId="0" borderId="3" xfId="0" applyFont="1" applyFill="1" applyBorder="1" applyAlignment="1" applyProtection="1">
      <alignment vertical="top" wrapText="1"/>
    </xf>
    <xf numFmtId="14" fontId="0" fillId="0" borderId="3" xfId="0" applyNumberFormat="1" applyFill="1" applyBorder="1" applyAlignment="1" applyProtection="1">
      <alignment vertical="top" wrapText="1"/>
    </xf>
    <xf numFmtId="0" fontId="0" fillId="0" borderId="3" xfId="0" applyFont="1" applyBorder="1" applyAlignment="1">
      <alignment vertical="top" wrapText="1"/>
    </xf>
    <xf numFmtId="14" fontId="0" fillId="0" borderId="3" xfId="0" applyNumberFormat="1" applyBorder="1" applyAlignment="1">
      <alignment vertical="top" wrapText="1"/>
    </xf>
    <xf numFmtId="0" fontId="16" fillId="0" borderId="0" xfId="3" applyAlignment="1" applyProtection="1">
      <alignment horizontal="right"/>
    </xf>
    <xf numFmtId="4" fontId="16" fillId="0" borderId="0" xfId="3" applyNumberFormat="1" applyProtection="1"/>
    <xf numFmtId="0" fontId="16" fillId="0" borderId="0" xfId="3" applyAlignment="1" applyProtection="1">
      <alignment horizontal="center"/>
    </xf>
    <xf numFmtId="0" fontId="16" fillId="0" borderId="0" xfId="3" applyFill="1" applyAlignment="1" applyProtection="1">
      <alignment horizontal="center"/>
    </xf>
    <xf numFmtId="0" fontId="16" fillId="0" borderId="0" xfId="3" applyFill="1" applyProtection="1"/>
    <xf numFmtId="0" fontId="16" fillId="0" borderId="0" xfId="3"/>
    <xf numFmtId="165" fontId="2" fillId="0" borderId="0" xfId="0" applyNumberFormat="1" applyFont="1" applyBorder="1" applyAlignment="1" applyProtection="1">
      <alignment horizontal="right"/>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9" fontId="2" fillId="0" borderId="0" xfId="0" applyNumberFormat="1" applyFont="1" applyBorder="1"/>
    <xf numFmtId="9" fontId="2" fillId="0" borderId="19" xfId="0" applyNumberFormat="1" applyFont="1" applyBorder="1" applyProtection="1">
      <protection locked="0"/>
    </xf>
    <xf numFmtId="0" fontId="2" fillId="0" borderId="0" xfId="0" applyFont="1" applyAlignment="1">
      <alignment horizontal="right"/>
    </xf>
    <xf numFmtId="0" fontId="16" fillId="0" borderId="0" xfId="3" applyFill="1" applyAlignment="1">
      <alignment horizontal="right"/>
    </xf>
    <xf numFmtId="3" fontId="2" fillId="0" borderId="0" xfId="0" applyNumberFormat="1" applyFont="1" applyFill="1"/>
    <xf numFmtId="4" fontId="8" fillId="0" borderId="0" xfId="0" applyNumberFormat="1" applyFont="1" applyFill="1" applyAlignment="1">
      <alignment horizontal="right"/>
    </xf>
    <xf numFmtId="0" fontId="2" fillId="0" borderId="0" xfId="0" applyFont="1" applyBorder="1" applyAlignment="1" applyProtection="1">
      <alignment horizontal="left"/>
      <protection locked="0"/>
    </xf>
    <xf numFmtId="0" fontId="2" fillId="0" borderId="20" xfId="0" applyFont="1" applyBorder="1" applyProtection="1">
      <protection locked="0"/>
    </xf>
    <xf numFmtId="0" fontId="2" fillId="0" borderId="21" xfId="0" applyFont="1" applyBorder="1" applyProtection="1">
      <protection locked="0"/>
    </xf>
    <xf numFmtId="4" fontId="2" fillId="0" borderId="19" xfId="0" applyNumberFormat="1" applyFont="1" applyBorder="1" applyProtection="1">
      <protection locked="0"/>
    </xf>
    <xf numFmtId="0" fontId="0" fillId="0" borderId="23" xfId="0" applyBorder="1" applyAlignment="1">
      <alignment vertical="top" wrapText="1"/>
    </xf>
    <xf numFmtId="14" fontId="0" fillId="0" borderId="23" xfId="0" applyNumberFormat="1" applyBorder="1" applyAlignment="1">
      <alignment vertical="top" wrapText="1"/>
    </xf>
    <xf numFmtId="0" fontId="0" fillId="0" borderId="22" xfId="0" applyBorder="1" applyAlignment="1">
      <alignment vertical="top" wrapText="1"/>
    </xf>
    <xf numFmtId="14" fontId="0" fillId="0" borderId="22" xfId="0" applyNumberFormat="1" applyBorder="1" applyAlignment="1">
      <alignment vertical="top" wrapText="1"/>
    </xf>
    <xf numFmtId="0" fontId="19" fillId="0" borderId="0" xfId="0" applyFont="1" applyAlignment="1">
      <alignment horizontal="right"/>
    </xf>
    <xf numFmtId="4" fontId="16" fillId="0" borderId="0" xfId="3" applyNumberFormat="1" applyAlignment="1" applyProtection="1">
      <alignment horizontal="right"/>
    </xf>
    <xf numFmtId="0" fontId="2" fillId="0" borderId="19" xfId="0" applyFont="1" applyBorder="1" applyProtection="1">
      <protection locked="0"/>
    </xf>
    <xf numFmtId="4" fontId="2" fillId="0" borderId="19" xfId="0" applyNumberFormat="1" applyFont="1" applyBorder="1" applyAlignment="1" applyProtection="1">
      <alignment horizontal="right"/>
      <protection locked="0"/>
    </xf>
    <xf numFmtId="0" fontId="0" fillId="0" borderId="3" xfId="0" applyBorder="1" applyAlignment="1">
      <alignment vertical="top" wrapText="1"/>
    </xf>
    <xf numFmtId="0" fontId="0" fillId="0" borderId="23" xfId="0" applyFont="1" applyBorder="1" applyAlignment="1">
      <alignment vertical="top" wrapText="1"/>
    </xf>
    <xf numFmtId="14" fontId="0" fillId="0" borderId="24" xfId="0" applyNumberFormat="1" applyBorder="1" applyAlignment="1">
      <alignment vertical="top" wrapText="1"/>
    </xf>
    <xf numFmtId="3" fontId="2" fillId="0" borderId="6" xfId="0" applyNumberFormat="1" applyFont="1" applyBorder="1" applyProtection="1">
      <protection locked="0"/>
    </xf>
    <xf numFmtId="0" fontId="6" fillId="0" borderId="0" xfId="0" applyFont="1" applyAlignment="1">
      <alignment vertical="top" wrapText="1"/>
    </xf>
    <xf numFmtId="0" fontId="0" fillId="0" borderId="3" xfId="0" applyBorder="1" applyAlignment="1" applyProtection="1">
      <alignment vertical="top" wrapText="1"/>
      <protection locked="0"/>
    </xf>
    <xf numFmtId="14" fontId="0" fillId="0" borderId="3" xfId="0" applyNumberFormat="1" applyBorder="1" applyAlignment="1" applyProtection="1">
      <alignment vertical="top" wrapText="1"/>
      <protection locked="0"/>
    </xf>
    <xf numFmtId="0" fontId="2" fillId="0" borderId="0" xfId="0" applyFont="1" applyProtection="1">
      <protection locked="0"/>
    </xf>
    <xf numFmtId="0" fontId="2" fillId="0" borderId="3" xfId="0" applyFont="1" applyFill="1" applyBorder="1" applyAlignment="1" applyProtection="1">
      <alignment vertical="top" wrapText="1"/>
      <protection locked="0"/>
    </xf>
  </cellXfs>
  <cellStyles count="4">
    <cellStyle name="Hyperlinkki" xfId="3" builtinId="8"/>
    <cellStyle name="Normaali" xfId="0" builtinId="0"/>
    <cellStyle name="ok" xfId="2" xr:uid="{00000000-0005-0000-0000-000002000000}"/>
    <cellStyle name="varoitus"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1924050</xdr:colOff>
      <xdr:row>53</xdr:row>
      <xdr:rowOff>76200</xdr:rowOff>
    </xdr:from>
    <xdr:to>
      <xdr:col>2</xdr:col>
      <xdr:colOff>1924050</xdr:colOff>
      <xdr:row>55</xdr:row>
      <xdr:rowOff>47625</xdr:rowOff>
    </xdr:to>
    <xdr:sp macro="" textlink="">
      <xdr:nvSpPr>
        <xdr:cNvPr id="2049" name="Textruta 1">
          <a:extLst>
            <a:ext uri="{FF2B5EF4-FFF2-40B4-BE49-F238E27FC236}">
              <a16:creationId xmlns:a16="http://schemas.microsoft.com/office/drawing/2014/main" id="{199F4703-8BDA-4D68-8F51-A48A25512124}"/>
            </a:ext>
          </a:extLst>
        </xdr:cNvPr>
        <xdr:cNvSpPr txBox="1">
          <a:spLocks noChangeArrowheads="1"/>
        </xdr:cNvSpPr>
      </xdr:nvSpPr>
      <xdr:spPr bwMode="auto">
        <a:xfrm>
          <a:off x="2447925" y="8029575"/>
          <a:ext cx="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lias2_s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ammandrag"/>
      <sheetName val="Boendeförälderns familj"/>
      <sheetName val="Underhållsskyldiges familj"/>
      <sheetName val="Specifikation av boendekostnade"/>
      <sheetName val="Grunduppgifter"/>
      <sheetName val="Ändringar"/>
    </sheetNames>
    <sheetDataSet>
      <sheetData sheetId="0"/>
      <sheetData sheetId="1"/>
      <sheetData sheetId="2"/>
      <sheetData sheetId="3"/>
      <sheetData sheetId="4"/>
      <sheetData sheetId="5">
        <row r="5">
          <cell r="C5" t="str">
            <v>Ålder</v>
          </cell>
          <cell r="E5" t="str">
            <v>Belopp</v>
          </cell>
        </row>
        <row r="6">
          <cell r="C6">
            <v>7</v>
          </cell>
          <cell r="E6">
            <v>359</v>
          </cell>
        </row>
        <row r="7">
          <cell r="C7">
            <v>13</v>
          </cell>
          <cell r="E7">
            <v>418</v>
          </cell>
        </row>
        <row r="8">
          <cell r="C8">
            <v>18</v>
          </cell>
          <cell r="E8">
            <v>563</v>
          </cell>
        </row>
        <row r="18">
          <cell r="E18" t="str">
            <v>Dygn</v>
          </cell>
          <cell r="H18" t="str">
            <v>Åldersfördelning</v>
          </cell>
        </row>
        <row r="19">
          <cell r="G19">
            <v>7</v>
          </cell>
          <cell r="H19">
            <v>13</v>
          </cell>
          <cell r="I19">
            <v>18</v>
          </cell>
        </row>
        <row r="20">
          <cell r="E20">
            <v>7</v>
          </cell>
          <cell r="F20">
            <v>1</v>
          </cell>
          <cell r="G20">
            <v>0</v>
          </cell>
          <cell r="H20">
            <v>0</v>
          </cell>
          <cell r="I20">
            <v>0</v>
          </cell>
        </row>
        <row r="21">
          <cell r="E21">
            <v>9</v>
          </cell>
          <cell r="F21">
            <v>2</v>
          </cell>
          <cell r="G21">
            <v>37</v>
          </cell>
          <cell r="H21">
            <v>40.5</v>
          </cell>
          <cell r="I21">
            <v>44</v>
          </cell>
        </row>
        <row r="22">
          <cell r="E22">
            <v>12</v>
          </cell>
          <cell r="F22">
            <v>3</v>
          </cell>
          <cell r="G22">
            <v>50.5</v>
          </cell>
          <cell r="H22">
            <v>54.5</v>
          </cell>
          <cell r="I22">
            <v>62</v>
          </cell>
        </row>
        <row r="23">
          <cell r="E23">
            <v>15</v>
          </cell>
          <cell r="F23">
            <v>4</v>
          </cell>
          <cell r="G23">
            <v>66.5</v>
          </cell>
          <cell r="H23">
            <v>71</v>
          </cell>
          <cell r="I23">
            <v>77</v>
          </cell>
        </row>
        <row r="27">
          <cell r="C27" t="str">
            <v>Antal</v>
          </cell>
          <cell r="E27" t="str">
            <v>Andel</v>
          </cell>
          <cell r="G27" t="str">
            <v>Andel sammanlagt</v>
          </cell>
        </row>
        <row r="28">
          <cell r="C28">
            <v>1</v>
          </cell>
          <cell r="E28">
            <v>0.23</v>
          </cell>
          <cell r="G28">
            <v>0.23</v>
          </cell>
        </row>
        <row r="29">
          <cell r="C29">
            <v>2</v>
          </cell>
          <cell r="E29">
            <v>0.19</v>
          </cell>
          <cell r="G29">
            <v>0.38</v>
          </cell>
        </row>
        <row r="30">
          <cell r="C30">
            <v>3</v>
          </cell>
          <cell r="E30">
            <v>0.16</v>
          </cell>
          <cell r="G30">
            <v>0.48</v>
          </cell>
        </row>
        <row r="31">
          <cell r="C31">
            <v>4</v>
          </cell>
          <cell r="E31">
            <v>0.14000000000000001</v>
          </cell>
          <cell r="G31">
            <v>0.56000000000000005</v>
          </cell>
        </row>
        <row r="32">
          <cell r="C32">
            <v>5</v>
          </cell>
          <cell r="E32">
            <v>0.12</v>
          </cell>
          <cell r="G32">
            <v>0.6</v>
          </cell>
        </row>
        <row r="33">
          <cell r="C33">
            <v>6</v>
          </cell>
          <cell r="E33">
            <v>0.11</v>
          </cell>
          <cell r="G33">
            <v>0.66</v>
          </cell>
        </row>
        <row r="34">
          <cell r="C34">
            <v>7</v>
          </cell>
          <cell r="E34">
            <v>0.1</v>
          </cell>
          <cell r="G34">
            <v>0.70000000000000007</v>
          </cell>
        </row>
        <row r="46">
          <cell r="C46">
            <v>1</v>
          </cell>
          <cell r="E46">
            <v>94.88</v>
          </cell>
          <cell r="G46">
            <v>94.88</v>
          </cell>
        </row>
        <row r="47">
          <cell r="C47">
            <v>2</v>
          </cell>
          <cell r="E47">
            <v>104.84</v>
          </cell>
          <cell r="G47">
            <v>199.72</v>
          </cell>
        </row>
        <row r="48">
          <cell r="C48">
            <v>3</v>
          </cell>
          <cell r="E48">
            <v>133.79</v>
          </cell>
          <cell r="G48">
            <v>333.51</v>
          </cell>
        </row>
        <row r="49">
          <cell r="C49">
            <v>4</v>
          </cell>
          <cell r="E49">
            <v>173.24</v>
          </cell>
          <cell r="G49">
            <v>506.75</v>
          </cell>
        </row>
        <row r="50">
          <cell r="C50">
            <v>5</v>
          </cell>
          <cell r="E50">
            <v>192.69</v>
          </cell>
          <cell r="G50">
            <v>699.44</v>
          </cell>
        </row>
      </sheetData>
      <sheetData sheetId="6"/>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61"/>
  <sheetViews>
    <sheetView showGridLines="0" tabSelected="1" workbookViewId="0">
      <selection activeCell="B5" sqref="B5"/>
    </sheetView>
  </sheetViews>
  <sheetFormatPr defaultColWidth="11.5703125" defaultRowHeight="12.75" x14ac:dyDescent="0.2"/>
  <cols>
    <col min="1" max="1" width="8.28515625" style="1" customWidth="1"/>
    <col min="2" max="2" width="51.85546875" style="1" customWidth="1"/>
    <col min="3" max="3" width="12.85546875" style="2" customWidth="1"/>
    <col min="4" max="254" width="11.5703125" style="1"/>
    <col min="255" max="255" width="11.5703125" style="3"/>
  </cols>
  <sheetData>
    <row r="1" spans="1:5" x14ac:dyDescent="0.2">
      <c r="A1" s="4"/>
      <c r="E1" s="4"/>
    </row>
    <row r="2" spans="1:5" x14ac:dyDescent="0.2">
      <c r="A2" s="4"/>
      <c r="E2" s="4"/>
    </row>
    <row r="3" spans="1:5" ht="44.25" x14ac:dyDescent="0.55000000000000004">
      <c r="A3" s="4"/>
      <c r="B3" s="5" t="s">
        <v>0</v>
      </c>
      <c r="E3" s="4"/>
    </row>
    <row r="4" spans="1:5" x14ac:dyDescent="0.2">
      <c r="A4" s="4"/>
      <c r="E4" s="4"/>
    </row>
    <row r="5" spans="1:5" x14ac:dyDescent="0.2">
      <c r="A5" s="4"/>
      <c r="B5" s="120" t="s">
        <v>148</v>
      </c>
      <c r="E5" s="4"/>
    </row>
    <row r="6" spans="1:5" x14ac:dyDescent="0.2">
      <c r="A6" s="4"/>
      <c r="E6" s="4"/>
    </row>
    <row r="7" spans="1:5" ht="15.75" x14ac:dyDescent="0.25">
      <c r="A7" s="4"/>
      <c r="B7" s="7" t="s">
        <v>149</v>
      </c>
      <c r="E7" s="4"/>
    </row>
    <row r="8" spans="1:5" x14ac:dyDescent="0.2">
      <c r="A8" s="4"/>
      <c r="E8" s="4"/>
    </row>
    <row r="9" spans="1:5" x14ac:dyDescent="0.2">
      <c r="A9" s="4"/>
      <c r="E9" s="4"/>
    </row>
    <row r="10" spans="1:5" x14ac:dyDescent="0.2">
      <c r="A10" s="4"/>
      <c r="B10" s="8" t="s">
        <v>118</v>
      </c>
      <c r="C10" s="2">
        <v>45089</v>
      </c>
      <c r="E10" s="4"/>
    </row>
    <row r="11" spans="1:5" x14ac:dyDescent="0.2">
      <c r="A11" s="4"/>
      <c r="E11" s="4"/>
    </row>
    <row r="12" spans="1:5" ht="14.25" x14ac:dyDescent="0.2">
      <c r="A12" s="4"/>
      <c r="B12" s="9" t="s">
        <v>150</v>
      </c>
      <c r="E12" s="4"/>
    </row>
    <row r="13" spans="1:5" ht="14.25" x14ac:dyDescent="0.2">
      <c r="A13" s="4"/>
      <c r="B13" s="9" t="s">
        <v>151</v>
      </c>
      <c r="E13" s="4"/>
    </row>
    <row r="14" spans="1:5" ht="14.25" x14ac:dyDescent="0.2">
      <c r="A14" s="4"/>
      <c r="B14" s="9"/>
      <c r="E14" s="4"/>
    </row>
    <row r="15" spans="1:5" ht="117.75" customHeight="1" x14ac:dyDescent="0.2">
      <c r="A15" s="4"/>
      <c r="B15" s="10" t="s">
        <v>193</v>
      </c>
      <c r="E15" s="4"/>
    </row>
    <row r="16" spans="1:5" ht="20.25" customHeight="1" x14ac:dyDescent="0.2">
      <c r="A16" s="4"/>
      <c r="B16" s="10"/>
      <c r="E16" s="4"/>
    </row>
    <row r="17" spans="1:5" ht="63.75" customHeight="1" x14ac:dyDescent="0.2">
      <c r="A17" s="4"/>
      <c r="B17" s="10" t="s">
        <v>192</v>
      </c>
      <c r="E17" s="4"/>
    </row>
    <row r="18" spans="1:5" ht="14.25" x14ac:dyDescent="0.2">
      <c r="A18" s="4"/>
      <c r="B18" s="10"/>
      <c r="E18" s="4"/>
    </row>
    <row r="19" spans="1:5" ht="72" customHeight="1" x14ac:dyDescent="0.2">
      <c r="A19" s="4"/>
      <c r="B19" s="10" t="s">
        <v>152</v>
      </c>
      <c r="E19" s="4"/>
    </row>
    <row r="20" spans="1:5" x14ac:dyDescent="0.2">
      <c r="A20" s="4"/>
      <c r="E20" s="4"/>
    </row>
    <row r="21" spans="1:5" x14ac:dyDescent="0.2">
      <c r="A21" s="4"/>
      <c r="B21" s="121" t="s">
        <v>154</v>
      </c>
      <c r="C21"/>
      <c r="E21" s="4"/>
    </row>
    <row r="22" spans="1:5" x14ac:dyDescent="0.2">
      <c r="A22" s="4"/>
      <c r="B22"/>
      <c r="C22"/>
      <c r="E22" s="4"/>
    </row>
    <row r="23" spans="1:5" x14ac:dyDescent="0.2">
      <c r="A23" s="4"/>
      <c r="B23"/>
      <c r="C23"/>
      <c r="E23" s="4"/>
    </row>
    <row r="24" spans="1:5" x14ac:dyDescent="0.2">
      <c r="A24" s="4"/>
      <c r="B24"/>
      <c r="C24"/>
      <c r="E24" s="4"/>
    </row>
    <row r="25" spans="1:5" x14ac:dyDescent="0.2">
      <c r="A25" s="4"/>
      <c r="B25"/>
      <c r="C25"/>
      <c r="E25" s="4"/>
    </row>
    <row r="26" spans="1:5" x14ac:dyDescent="0.2">
      <c r="A26" s="4"/>
      <c r="B26"/>
      <c r="C26"/>
      <c r="E26" s="4"/>
    </row>
    <row r="27" spans="1:5" x14ac:dyDescent="0.2">
      <c r="A27" s="4"/>
      <c r="B27"/>
      <c r="C27"/>
      <c r="E27" s="4"/>
    </row>
    <row r="28" spans="1:5" x14ac:dyDescent="0.2">
      <c r="A28" s="4"/>
      <c r="B28"/>
      <c r="C28"/>
      <c r="E28" s="4"/>
    </row>
    <row r="29" spans="1:5" x14ac:dyDescent="0.2">
      <c r="A29" s="4"/>
      <c r="B29"/>
      <c r="C29"/>
      <c r="E29" s="4"/>
    </row>
    <row r="30" spans="1:5" x14ac:dyDescent="0.2">
      <c r="A30" s="4"/>
      <c r="B30"/>
      <c r="C30"/>
      <c r="E30" s="4"/>
    </row>
    <row r="31" spans="1:5" x14ac:dyDescent="0.2">
      <c r="A31" s="4"/>
      <c r="B31" s="11"/>
      <c r="E31" s="4"/>
    </row>
    <row r="32" spans="1:5" x14ac:dyDescent="0.2">
      <c r="A32" s="4"/>
      <c r="B32" s="11"/>
      <c r="E32" s="4"/>
    </row>
    <row r="33" spans="1:5" x14ac:dyDescent="0.2">
      <c r="A33" s="4"/>
      <c r="B33" s="11"/>
      <c r="E33" s="4"/>
    </row>
    <row r="34" spans="1:5" x14ac:dyDescent="0.2">
      <c r="A34" s="4"/>
      <c r="B34" s="11"/>
      <c r="E34" s="4"/>
    </row>
    <row r="35" spans="1:5" x14ac:dyDescent="0.2">
      <c r="A35" s="4"/>
      <c r="B35" s="11"/>
      <c r="E35" s="4"/>
    </row>
    <row r="36" spans="1:5" x14ac:dyDescent="0.2">
      <c r="A36" s="4"/>
      <c r="B36" s="11"/>
      <c r="E36" s="4"/>
    </row>
    <row r="37" spans="1:5" x14ac:dyDescent="0.2">
      <c r="A37" s="4"/>
      <c r="B37" s="11"/>
      <c r="E37" s="4"/>
    </row>
    <row r="38" spans="1:5" x14ac:dyDescent="0.2">
      <c r="A38" s="4"/>
      <c r="B38" s="11"/>
      <c r="E38" s="4"/>
    </row>
    <row r="39" spans="1:5" x14ac:dyDescent="0.2">
      <c r="A39" s="4"/>
      <c r="B39" s="11"/>
      <c r="E39" s="4"/>
    </row>
    <row r="40" spans="1:5" x14ac:dyDescent="0.2">
      <c r="A40" s="4"/>
      <c r="B40" s="11"/>
      <c r="E40" s="4"/>
    </row>
    <row r="41" spans="1:5" x14ac:dyDescent="0.2">
      <c r="A41" s="4"/>
      <c r="B41" s="11"/>
      <c r="E41" s="4"/>
    </row>
    <row r="42" spans="1:5" x14ac:dyDescent="0.2">
      <c r="A42" s="4"/>
      <c r="B42" s="11"/>
      <c r="E42" s="4"/>
    </row>
    <row r="43" spans="1:5" x14ac:dyDescent="0.2">
      <c r="A43" s="4"/>
      <c r="B43" s="11"/>
      <c r="E43" s="4"/>
    </row>
    <row r="44" spans="1:5" x14ac:dyDescent="0.2">
      <c r="A44" s="4"/>
      <c r="B44" s="11"/>
      <c r="E44" s="4"/>
    </row>
    <row r="45" spans="1:5" x14ac:dyDescent="0.2">
      <c r="A45" s="4"/>
      <c r="B45" s="11"/>
      <c r="E45" s="4"/>
    </row>
    <row r="46" spans="1:5" x14ac:dyDescent="0.2">
      <c r="A46" s="4"/>
      <c r="E46" s="4"/>
    </row>
    <row r="47" spans="1:5" x14ac:dyDescent="0.2">
      <c r="A47" s="4"/>
      <c r="E47" s="4"/>
    </row>
    <row r="48" spans="1:5" x14ac:dyDescent="0.2">
      <c r="A48" s="4"/>
      <c r="E48" s="4"/>
    </row>
    <row r="49" spans="1:5" x14ac:dyDescent="0.2">
      <c r="A49" s="4"/>
      <c r="E49" s="4"/>
    </row>
    <row r="50" spans="1:5" x14ac:dyDescent="0.2">
      <c r="A50" s="4"/>
      <c r="E50" s="4"/>
    </row>
    <row r="51" spans="1:5" x14ac:dyDescent="0.2">
      <c r="A51" s="4"/>
      <c r="E51" s="4"/>
    </row>
    <row r="52" spans="1:5" x14ac:dyDescent="0.2">
      <c r="A52" s="4"/>
      <c r="E52" s="4"/>
    </row>
    <row r="53" spans="1:5" x14ac:dyDescent="0.2">
      <c r="A53" s="4"/>
      <c r="E53" s="4"/>
    </row>
    <row r="54" spans="1:5" x14ac:dyDescent="0.2">
      <c r="A54" s="4"/>
      <c r="E54" s="4"/>
    </row>
    <row r="55" spans="1:5" x14ac:dyDescent="0.2">
      <c r="A55" s="4"/>
      <c r="E55" s="4"/>
    </row>
    <row r="56" spans="1:5" x14ac:dyDescent="0.2">
      <c r="A56" s="4"/>
      <c r="E56" s="4"/>
    </row>
    <row r="57" spans="1:5" x14ac:dyDescent="0.2">
      <c r="A57" s="4"/>
      <c r="E57" s="4"/>
    </row>
    <row r="58" spans="1:5" x14ac:dyDescent="0.2">
      <c r="A58" s="4"/>
      <c r="E58" s="4"/>
    </row>
    <row r="59" spans="1:5" x14ac:dyDescent="0.2">
      <c r="A59" s="4"/>
      <c r="E59" s="4"/>
    </row>
    <row r="60" spans="1:5" x14ac:dyDescent="0.2">
      <c r="A60" s="4"/>
      <c r="E60" s="4"/>
    </row>
    <row r="61" spans="1:5" x14ac:dyDescent="0.2">
      <c r="A61" s="4"/>
      <c r="B61" s="4"/>
      <c r="C61" s="12"/>
      <c r="D61" s="4"/>
      <c r="E61" s="4"/>
    </row>
  </sheetData>
  <sheetProtection sheet="1" objects="1" scenarios="1"/>
  <hyperlinks>
    <hyperlink ref="B5" location="Sammandrag!A1" display="Börja" xr:uid="{00000000-0004-0000-0000-000000000000}"/>
    <hyperlink ref="B21" location="Ändringar!A1" display="Förteckning över ändringar och uppdateringar" xr:uid="{00000000-0004-0000-0000-000002000000}"/>
  </hyperlinks>
  <pageMargins left="0.7" right="0.7" top="0.75" bottom="0.75" header="0.3" footer="0.3"/>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40"/>
  <sheetViews>
    <sheetView showGridLines="0" topLeftCell="A11" workbookViewId="0">
      <selection activeCell="F44" sqref="F44"/>
    </sheetView>
  </sheetViews>
  <sheetFormatPr defaultColWidth="11.5703125" defaultRowHeight="12.75" x14ac:dyDescent="0.2"/>
  <cols>
    <col min="1" max="1" width="6.140625" style="106" customWidth="1"/>
    <col min="2" max="2" width="64.7109375" style="106" customWidth="1"/>
    <col min="3" max="3" width="11.5703125" style="107"/>
    <col min="4" max="16384" width="11.5703125" style="106"/>
  </cols>
  <sheetData>
    <row r="2" spans="2:3" x14ac:dyDescent="0.2">
      <c r="B2" s="108" t="s">
        <v>87</v>
      </c>
      <c r="C2" s="109"/>
    </row>
    <row r="3" spans="2:3" x14ac:dyDescent="0.2">
      <c r="B3" s="108"/>
      <c r="C3" s="109"/>
    </row>
    <row r="4" spans="2:3" ht="25.5" x14ac:dyDescent="0.2">
      <c r="B4" s="110" t="s">
        <v>88</v>
      </c>
      <c r="C4" s="111">
        <v>39326</v>
      </c>
    </row>
    <row r="5" spans="2:3" ht="76.5" x14ac:dyDescent="0.2">
      <c r="B5" s="112" t="s">
        <v>89</v>
      </c>
      <c r="C5" s="113">
        <v>39463</v>
      </c>
    </row>
    <row r="6" spans="2:3" ht="63.75" x14ac:dyDescent="0.2">
      <c r="B6" s="112" t="s">
        <v>90</v>
      </c>
      <c r="C6" s="113">
        <v>39475</v>
      </c>
    </row>
    <row r="7" spans="2:3" ht="25.5" x14ac:dyDescent="0.2">
      <c r="B7" s="112" t="s">
        <v>91</v>
      </c>
      <c r="C7" s="113">
        <v>39484</v>
      </c>
    </row>
    <row r="8" spans="2:3" ht="38.25" x14ac:dyDescent="0.2">
      <c r="B8" s="112" t="s">
        <v>92</v>
      </c>
      <c r="C8" s="113">
        <v>39485</v>
      </c>
    </row>
    <row r="9" spans="2:3" x14ac:dyDescent="0.2">
      <c r="B9" s="112" t="s">
        <v>93</v>
      </c>
      <c r="C9" s="113">
        <v>39486</v>
      </c>
    </row>
    <row r="10" spans="2:3" ht="25.5" x14ac:dyDescent="0.2">
      <c r="B10" s="112" t="s">
        <v>94</v>
      </c>
      <c r="C10" s="113">
        <v>39540</v>
      </c>
    </row>
    <row r="11" spans="2:3" ht="25.5" x14ac:dyDescent="0.2">
      <c r="B11" s="112" t="s">
        <v>95</v>
      </c>
      <c r="C11" s="113">
        <v>39583</v>
      </c>
    </row>
    <row r="12" spans="2:3" ht="25.5" x14ac:dyDescent="0.2">
      <c r="B12" s="112" t="s">
        <v>96</v>
      </c>
      <c r="C12" s="113">
        <v>39693</v>
      </c>
    </row>
    <row r="13" spans="2:3" x14ac:dyDescent="0.2">
      <c r="B13" s="112" t="s">
        <v>97</v>
      </c>
      <c r="C13" s="113">
        <v>39694</v>
      </c>
    </row>
    <row r="14" spans="2:3" x14ac:dyDescent="0.2">
      <c r="B14" s="114" t="s">
        <v>98</v>
      </c>
      <c r="C14" s="113">
        <v>39786</v>
      </c>
    </row>
    <row r="15" spans="2:3" x14ac:dyDescent="0.2">
      <c r="B15" s="113" t="s">
        <v>99</v>
      </c>
      <c r="C15" s="113">
        <v>39888</v>
      </c>
    </row>
    <row r="16" spans="2:3" ht="25.5" x14ac:dyDescent="0.2">
      <c r="B16" s="113" t="s">
        <v>100</v>
      </c>
      <c r="C16" s="113">
        <v>39965</v>
      </c>
    </row>
    <row r="17" spans="2:3" ht="38.25" x14ac:dyDescent="0.2">
      <c r="B17" s="114" t="s">
        <v>101</v>
      </c>
      <c r="C17" s="115">
        <v>40539</v>
      </c>
    </row>
    <row r="18" spans="2:3" x14ac:dyDescent="0.2">
      <c r="B18" s="114" t="s">
        <v>102</v>
      </c>
      <c r="C18" s="115">
        <v>40899</v>
      </c>
    </row>
    <row r="19" spans="2:3" x14ac:dyDescent="0.2">
      <c r="B19" s="114" t="s">
        <v>103</v>
      </c>
      <c r="C19" s="115">
        <v>40924</v>
      </c>
    </row>
    <row r="20" spans="2:3" ht="38.25" x14ac:dyDescent="0.2">
      <c r="B20" s="114" t="s">
        <v>104</v>
      </c>
      <c r="C20" s="115">
        <v>40959</v>
      </c>
    </row>
    <row r="21" spans="2:3" ht="38.25" x14ac:dyDescent="0.2">
      <c r="B21" s="114" t="s">
        <v>105</v>
      </c>
      <c r="C21" s="115">
        <v>41290</v>
      </c>
    </row>
    <row r="22" spans="2:3" ht="38.25" x14ac:dyDescent="0.2">
      <c r="B22" s="114" t="s">
        <v>106</v>
      </c>
      <c r="C22" s="115">
        <v>41653</v>
      </c>
    </row>
    <row r="23" spans="2:3" ht="38.25" x14ac:dyDescent="0.2">
      <c r="B23" s="114" t="s">
        <v>107</v>
      </c>
      <c r="C23" s="115">
        <v>42009</v>
      </c>
    </row>
    <row r="24" spans="2:3" ht="25.5" x14ac:dyDescent="0.2">
      <c r="B24" s="114" t="s">
        <v>108</v>
      </c>
      <c r="C24" s="115">
        <v>42032</v>
      </c>
    </row>
    <row r="25" spans="2:3" ht="25.5" x14ac:dyDescent="0.2">
      <c r="B25" s="114" t="s">
        <v>109</v>
      </c>
      <c r="C25" s="115">
        <v>42409</v>
      </c>
    </row>
    <row r="26" spans="2:3" ht="25.5" x14ac:dyDescent="0.2">
      <c r="B26" s="114" t="s">
        <v>110</v>
      </c>
      <c r="C26" s="115">
        <v>42746</v>
      </c>
    </row>
    <row r="27" spans="2:3" ht="25.5" x14ac:dyDescent="0.2">
      <c r="B27" s="114" t="s">
        <v>111</v>
      </c>
      <c r="C27" s="115">
        <v>43108</v>
      </c>
    </row>
    <row r="28" spans="2:3" ht="38.25" x14ac:dyDescent="0.2">
      <c r="B28" s="114" t="s">
        <v>112</v>
      </c>
      <c r="C28" s="115">
        <v>43199</v>
      </c>
    </row>
    <row r="29" spans="2:3" ht="25.5" x14ac:dyDescent="0.2">
      <c r="B29" s="114" t="s">
        <v>113</v>
      </c>
      <c r="C29" s="115">
        <v>43488</v>
      </c>
    </row>
    <row r="30" spans="2:3" ht="25.5" x14ac:dyDescent="0.2">
      <c r="B30" s="114" t="s">
        <v>114</v>
      </c>
      <c r="C30" s="115">
        <v>43847</v>
      </c>
    </row>
    <row r="31" spans="2:3" ht="25.5" x14ac:dyDescent="0.2">
      <c r="B31" s="114" t="s">
        <v>115</v>
      </c>
      <c r="C31" s="115">
        <v>44213</v>
      </c>
    </row>
    <row r="32" spans="2:3" ht="25.5" x14ac:dyDescent="0.2">
      <c r="B32" s="114" t="s">
        <v>116</v>
      </c>
      <c r="C32" s="115">
        <v>44586</v>
      </c>
    </row>
    <row r="33" spans="2:3" ht="25.5" x14ac:dyDescent="0.2">
      <c r="B33" s="114" t="s">
        <v>117</v>
      </c>
      <c r="C33" s="115">
        <v>44928</v>
      </c>
    </row>
    <row r="34" spans="2:3" x14ac:dyDescent="0.2">
      <c r="B34" s="136" t="s">
        <v>119</v>
      </c>
      <c r="C34" s="137">
        <v>45078</v>
      </c>
    </row>
    <row r="35" spans="2:3" x14ac:dyDescent="0.2">
      <c r="B35" s="138" t="s">
        <v>131</v>
      </c>
      <c r="C35" s="139">
        <v>45082</v>
      </c>
    </row>
    <row r="36" spans="2:3" x14ac:dyDescent="0.2">
      <c r="B36" s="138" t="s">
        <v>138</v>
      </c>
      <c r="C36" s="139">
        <v>45089</v>
      </c>
    </row>
    <row r="37" spans="2:3" x14ac:dyDescent="0.2">
      <c r="B37" s="138" t="s">
        <v>141</v>
      </c>
      <c r="C37" s="139">
        <v>45208</v>
      </c>
    </row>
    <row r="38" spans="2:3" ht="38.25" x14ac:dyDescent="0.2">
      <c r="B38" s="138" t="s">
        <v>142</v>
      </c>
      <c r="C38" s="139">
        <v>45215</v>
      </c>
    </row>
    <row r="39" spans="2:3" x14ac:dyDescent="0.2">
      <c r="B39" s="145" t="s">
        <v>143</v>
      </c>
      <c r="C39" s="146">
        <v>45224</v>
      </c>
    </row>
    <row r="40" spans="2:3" ht="38.25" x14ac:dyDescent="0.2">
      <c r="B40" s="144" t="s">
        <v>144</v>
      </c>
      <c r="C40" s="115">
        <v>45293</v>
      </c>
    </row>
  </sheetData>
  <sheetProtection selectLockedCells="1" selectUnlockedCells="1"/>
  <pageMargins left="0.7" right="0.7" top="0.75" bottom="0.75" header="0.3" footer="0.3"/>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09F3D-3B64-4FC8-AD2F-4ECADE369DC0}">
  <dimension ref="B1:C37"/>
  <sheetViews>
    <sheetView showGridLines="0" topLeftCell="A6" workbookViewId="0"/>
  </sheetViews>
  <sheetFormatPr defaultColWidth="11.5703125" defaultRowHeight="12.75" x14ac:dyDescent="0.2"/>
  <cols>
    <col min="1" max="1" width="7.7109375" style="106" customWidth="1"/>
    <col min="2" max="2" width="60.42578125" style="106" customWidth="1"/>
    <col min="3" max="3" width="11.5703125" style="107"/>
    <col min="4" max="16384" width="11.5703125" style="106"/>
  </cols>
  <sheetData>
    <row r="1" spans="2:3" x14ac:dyDescent="0.2">
      <c r="B1" s="148" t="s">
        <v>155</v>
      </c>
    </row>
    <row r="2" spans="2:3" ht="25.5" x14ac:dyDescent="0.2">
      <c r="B2" s="149" t="s">
        <v>156</v>
      </c>
      <c r="C2" s="150">
        <v>39326</v>
      </c>
    </row>
    <row r="3" spans="2:3" ht="75.75" customHeight="1" x14ac:dyDescent="0.2">
      <c r="B3" s="144" t="s">
        <v>157</v>
      </c>
      <c r="C3" s="115">
        <v>39463</v>
      </c>
    </row>
    <row r="4" spans="2:3" ht="63.75" customHeight="1" x14ac:dyDescent="0.2">
      <c r="B4" s="144" t="s">
        <v>158</v>
      </c>
      <c r="C4" s="115">
        <v>39475</v>
      </c>
    </row>
    <row r="5" spans="2:3" ht="25.5" x14ac:dyDescent="0.2">
      <c r="B5" s="144" t="s">
        <v>159</v>
      </c>
      <c r="C5" s="115">
        <v>39484</v>
      </c>
    </row>
    <row r="6" spans="2:3" ht="51" customHeight="1" x14ac:dyDescent="0.2">
      <c r="B6" s="144" t="s">
        <v>160</v>
      </c>
      <c r="C6" s="115">
        <v>39485</v>
      </c>
    </row>
    <row r="7" spans="2:3" x14ac:dyDescent="0.2">
      <c r="B7" s="144" t="s">
        <v>161</v>
      </c>
      <c r="C7" s="115">
        <v>39486</v>
      </c>
    </row>
    <row r="8" spans="2:3" ht="25.5" x14ac:dyDescent="0.2">
      <c r="B8" s="144" t="s">
        <v>162</v>
      </c>
      <c r="C8" s="115">
        <v>39540</v>
      </c>
    </row>
    <row r="9" spans="2:3" ht="25.5" x14ac:dyDescent="0.2">
      <c r="B9" s="144" t="s">
        <v>163</v>
      </c>
      <c r="C9" s="115">
        <v>39583</v>
      </c>
    </row>
    <row r="10" spans="2:3" ht="25.5" x14ac:dyDescent="0.2">
      <c r="B10" s="144" t="s">
        <v>164</v>
      </c>
      <c r="C10" s="115">
        <v>39693</v>
      </c>
    </row>
    <row r="11" spans="2:3" ht="25.5" x14ac:dyDescent="0.2">
      <c r="B11" s="144" t="s">
        <v>165</v>
      </c>
      <c r="C11" s="115">
        <v>404936</v>
      </c>
    </row>
    <row r="12" spans="2:3" ht="38.25" x14ac:dyDescent="0.2">
      <c r="B12" s="144" t="s">
        <v>166</v>
      </c>
      <c r="C12" s="115">
        <v>39786</v>
      </c>
    </row>
    <row r="13" spans="2:3" ht="25.5" x14ac:dyDescent="0.2">
      <c r="B13" s="144" t="s">
        <v>167</v>
      </c>
      <c r="C13" s="115">
        <v>39888</v>
      </c>
    </row>
    <row r="14" spans="2:3" ht="25.5" x14ac:dyDescent="0.2">
      <c r="B14" s="144" t="s">
        <v>168</v>
      </c>
      <c r="C14" s="115">
        <v>39965</v>
      </c>
    </row>
    <row r="15" spans="2:3" ht="25.5" x14ac:dyDescent="0.2">
      <c r="B15" s="144" t="s">
        <v>169</v>
      </c>
      <c r="C15" s="115">
        <v>40539</v>
      </c>
    </row>
    <row r="16" spans="2:3" x14ac:dyDescent="0.2">
      <c r="B16" s="144" t="s">
        <v>170</v>
      </c>
      <c r="C16" s="115">
        <v>40899</v>
      </c>
    </row>
    <row r="17" spans="2:3" x14ac:dyDescent="0.2">
      <c r="B17" s="144" t="s">
        <v>171</v>
      </c>
      <c r="C17" s="115">
        <v>40924</v>
      </c>
    </row>
    <row r="18" spans="2:3" ht="25.5" x14ac:dyDescent="0.2">
      <c r="B18" s="144" t="s">
        <v>172</v>
      </c>
      <c r="C18" s="115">
        <v>40959</v>
      </c>
    </row>
    <row r="19" spans="2:3" ht="25.5" x14ac:dyDescent="0.2">
      <c r="B19" s="144" t="s">
        <v>173</v>
      </c>
      <c r="C19" s="115">
        <v>41290</v>
      </c>
    </row>
    <row r="20" spans="2:3" ht="25.5" x14ac:dyDescent="0.2">
      <c r="B20" s="144" t="s">
        <v>174</v>
      </c>
      <c r="C20" s="115">
        <v>41653</v>
      </c>
    </row>
    <row r="21" spans="2:3" ht="38.25" x14ac:dyDescent="0.2">
      <c r="B21" s="136" t="s">
        <v>175</v>
      </c>
      <c r="C21" s="137">
        <v>42009</v>
      </c>
    </row>
    <row r="22" spans="2:3" ht="25.5" x14ac:dyDescent="0.2">
      <c r="B22" s="144" t="s">
        <v>176</v>
      </c>
      <c r="C22" s="115">
        <v>42032</v>
      </c>
    </row>
    <row r="23" spans="2:3" ht="25.5" x14ac:dyDescent="0.2">
      <c r="B23" s="144" t="s">
        <v>177</v>
      </c>
      <c r="C23" s="115">
        <v>42409</v>
      </c>
    </row>
    <row r="24" spans="2:3" ht="25.5" x14ac:dyDescent="0.2">
      <c r="B24" s="144" t="s">
        <v>178</v>
      </c>
      <c r="C24" s="115">
        <v>42746</v>
      </c>
    </row>
    <row r="25" spans="2:3" ht="25.5" x14ac:dyDescent="0.2">
      <c r="B25" s="144" t="s">
        <v>179</v>
      </c>
      <c r="C25" s="115">
        <v>43111</v>
      </c>
    </row>
    <row r="26" spans="2:3" ht="25.5" x14ac:dyDescent="0.2">
      <c r="B26" s="144" t="s">
        <v>180</v>
      </c>
      <c r="C26" s="144"/>
    </row>
    <row r="27" spans="2:3" ht="25.5" x14ac:dyDescent="0.2">
      <c r="B27" s="144" t="s">
        <v>181</v>
      </c>
      <c r="C27" s="115">
        <v>43488</v>
      </c>
    </row>
    <row r="28" spans="2:3" ht="25.5" x14ac:dyDescent="0.2">
      <c r="B28" s="144" t="s">
        <v>182</v>
      </c>
      <c r="C28" s="115">
        <v>43847</v>
      </c>
    </row>
    <row r="29" spans="2:3" ht="25.5" x14ac:dyDescent="0.2">
      <c r="B29" s="144" t="s">
        <v>183</v>
      </c>
      <c r="C29" s="115">
        <v>44213</v>
      </c>
    </row>
    <row r="30" spans="2:3" ht="25.5" x14ac:dyDescent="0.2">
      <c r="B30" s="144" t="s">
        <v>184</v>
      </c>
      <c r="C30" s="115">
        <v>44586</v>
      </c>
    </row>
    <row r="31" spans="2:3" ht="25.5" x14ac:dyDescent="0.2">
      <c r="B31" s="144" t="s">
        <v>185</v>
      </c>
      <c r="C31" s="115">
        <v>44928</v>
      </c>
    </row>
    <row r="32" spans="2:3" x14ac:dyDescent="0.2">
      <c r="B32" s="136" t="s">
        <v>188</v>
      </c>
      <c r="C32" s="137">
        <v>45078</v>
      </c>
    </row>
    <row r="33" spans="2:3" x14ac:dyDescent="0.2">
      <c r="B33" s="138" t="s">
        <v>189</v>
      </c>
      <c r="C33" s="139">
        <v>45082</v>
      </c>
    </row>
    <row r="34" spans="2:3" x14ac:dyDescent="0.2">
      <c r="B34" s="138" t="s">
        <v>190</v>
      </c>
      <c r="C34" s="139">
        <v>45089</v>
      </c>
    </row>
    <row r="35" spans="2:3" x14ac:dyDescent="0.2">
      <c r="B35" s="138" t="s">
        <v>191</v>
      </c>
      <c r="C35" s="139">
        <v>45208</v>
      </c>
    </row>
    <row r="36" spans="2:3" x14ac:dyDescent="0.2">
      <c r="B36" s="144" t="s">
        <v>186</v>
      </c>
      <c r="C36" s="146">
        <v>45224</v>
      </c>
    </row>
    <row r="37" spans="2:3" ht="51" x14ac:dyDescent="0.2">
      <c r="B37" s="144" t="s">
        <v>187</v>
      </c>
      <c r="C37" s="115">
        <v>45293</v>
      </c>
    </row>
  </sheetData>
  <sheetProtection sheet="1" objects="1" scenarios="1"/>
  <pageMargins left="0.59027777777777779" right="0.6694444444444444" top="0.78749999999999998" bottom="0.78749999999999998"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9"/>
  <sheetViews>
    <sheetView showGridLines="0" topLeftCell="A30" zoomScaleNormal="100" workbookViewId="0">
      <selection activeCell="D43" sqref="D43"/>
    </sheetView>
  </sheetViews>
  <sheetFormatPr defaultColWidth="11.5703125" defaultRowHeight="15" x14ac:dyDescent="0.2"/>
  <cols>
    <col min="1" max="1" width="2.42578125" style="13" customWidth="1"/>
    <col min="2" max="2" width="5.42578125" style="13" customWidth="1"/>
    <col min="3" max="3" width="37.42578125" style="13" customWidth="1"/>
    <col min="4" max="4" width="15.42578125" style="14" customWidth="1"/>
    <col min="5" max="5" width="6.42578125" style="14" customWidth="1"/>
    <col min="6" max="6" width="15.28515625" style="14" customWidth="1"/>
    <col min="7" max="7" width="4.85546875" style="13" customWidth="1"/>
    <col min="8" max="8" width="36.140625" style="15" customWidth="1"/>
    <col min="9" max="16384" width="11.5703125" style="13"/>
  </cols>
  <sheetData>
    <row r="1" spans="1:256" ht="15.75" x14ac:dyDescent="0.25">
      <c r="A1" s="16" t="s">
        <v>1</v>
      </c>
      <c r="F1" s="17" t="s">
        <v>2</v>
      </c>
      <c r="G1"/>
      <c r="H1" s="18"/>
      <c r="I1"/>
      <c r="J1"/>
    </row>
    <row r="2" spans="1:256" s="21" customFormat="1" ht="9.9499999999999993" customHeight="1" x14ac:dyDescent="0.25">
      <c r="A2" s="19"/>
      <c r="B2" s="20"/>
      <c r="E2" s="22"/>
      <c r="G2" s="23"/>
      <c r="H2" s="24"/>
      <c r="I2" s="23"/>
      <c r="J2"/>
      <c r="K2"/>
      <c r="L2"/>
      <c r="M2"/>
      <c r="IU2"/>
      <c r="IV2"/>
    </row>
    <row r="3" spans="1:256" ht="15.75" x14ac:dyDescent="0.25">
      <c r="B3" s="25" t="s">
        <v>3</v>
      </c>
      <c r="D3" s="26" t="s">
        <v>123</v>
      </c>
      <c r="E3" s="26"/>
      <c r="F3" s="26" t="s">
        <v>122</v>
      </c>
    </row>
    <row r="4" spans="1:256" x14ac:dyDescent="0.2">
      <c r="B4" s="25"/>
      <c r="D4" s="131" t="str">
        <f>IF('Familj A'!E3="","?",'Familj A'!E3)</f>
        <v>?</v>
      </c>
      <c r="E4" s="131"/>
      <c r="F4" s="131" t="str">
        <f>IF('Familj B'!E3="","?",'Familj B'!E3)</f>
        <v>?</v>
      </c>
    </row>
    <row r="5" spans="1:256" s="21" customFormat="1" ht="15.75" x14ac:dyDescent="0.25">
      <c r="A5" s="19"/>
      <c r="B5" s="20"/>
      <c r="C5" s="27"/>
      <c r="D5" s="116" t="s">
        <v>260</v>
      </c>
      <c r="E5" s="28"/>
      <c r="F5" s="116" t="s">
        <v>153</v>
      </c>
      <c r="G5" s="23"/>
      <c r="H5" s="24"/>
      <c r="I5" s="23"/>
      <c r="J5"/>
      <c r="K5"/>
      <c r="L5"/>
      <c r="M5"/>
      <c r="IU5"/>
      <c r="IV5"/>
    </row>
    <row r="6" spans="1:256" x14ac:dyDescent="0.2">
      <c r="C6" s="13" t="s">
        <v>4</v>
      </c>
      <c r="D6" s="14">
        <f>'Familj A'!E12+'Familj A'!E16</f>
        <v>0</v>
      </c>
      <c r="F6" s="14">
        <f>'Familj B'!E12+'Familj B'!E16</f>
        <v>0</v>
      </c>
    </row>
    <row r="7" spans="1:256" x14ac:dyDescent="0.2">
      <c r="C7" s="13" t="s">
        <v>5</v>
      </c>
      <c r="D7" s="14">
        <f>'Familj A'!E13</f>
        <v>0</v>
      </c>
      <c r="F7" s="14">
        <f>'Familj B'!E13</f>
        <v>0</v>
      </c>
      <c r="H7" s="18"/>
    </row>
    <row r="8" spans="1:256" x14ac:dyDescent="0.2">
      <c r="C8" s="13" t="s">
        <v>6</v>
      </c>
      <c r="D8" s="14">
        <f>D6-D7</f>
        <v>0</v>
      </c>
      <c r="F8" s="14">
        <f>F6-F7</f>
        <v>0</v>
      </c>
    </row>
    <row r="9" spans="1:256" s="21" customFormat="1" ht="9.9499999999999993" customHeight="1" x14ac:dyDescent="0.25">
      <c r="A9" s="19"/>
      <c r="B9" s="20"/>
      <c r="E9" s="22"/>
      <c r="G9" s="23"/>
      <c r="H9" s="24"/>
      <c r="I9" s="23"/>
      <c r="J9"/>
      <c r="K9"/>
      <c r="L9"/>
      <c r="M9"/>
      <c r="IU9"/>
      <c r="IV9"/>
    </row>
    <row r="10" spans="1:256" x14ac:dyDescent="0.2">
      <c r="C10" s="13" t="s">
        <v>7</v>
      </c>
      <c r="D10" s="14">
        <f>'Familj A'!E33</f>
        <v>300</v>
      </c>
      <c r="F10" s="14">
        <f>'Familj B'!E33</f>
        <v>400</v>
      </c>
    </row>
    <row r="11" spans="1:256" x14ac:dyDescent="0.2">
      <c r="C11" s="13" t="s">
        <v>128</v>
      </c>
      <c r="D11" s="130">
        <f>'Familj A'!D20+'Familj A'!D21+Underhållstagar!D5</f>
        <v>0</v>
      </c>
      <c r="F11" s="29">
        <f>'Familj B'!D20+'Familj B'!D21+Underhållstagar!D5</f>
        <v>0</v>
      </c>
    </row>
    <row r="12" spans="1:256" x14ac:dyDescent="0.2">
      <c r="C12" s="13" t="s">
        <v>130</v>
      </c>
      <c r="D12" s="14">
        <f>IF(D10=0,0,IF(D11&gt;0,VLOOKUP(D11,Asumis_osuudet,3)*D10*Underhållstagar!D5,0))/2</f>
        <v>0</v>
      </c>
      <c r="F12" s="14">
        <f>IF(F10=0,0,IF(F11&gt;0,VLOOKUP(F11,Asumis_osuudet,3)*F10*Underhållstagar!D5,0))/2</f>
        <v>0</v>
      </c>
    </row>
    <row r="13" spans="1:256" x14ac:dyDescent="0.2">
      <c r="C13" s="13" t="s">
        <v>129</v>
      </c>
      <c r="D13" s="14">
        <f>D10-D12</f>
        <v>300</v>
      </c>
      <c r="F13" s="14">
        <f>F10-F12</f>
        <v>400</v>
      </c>
    </row>
    <row r="14" spans="1:256" x14ac:dyDescent="0.2">
      <c r="C14" s="13" t="s">
        <v>135</v>
      </c>
      <c r="D14" s="14">
        <f>IF('Familj A'!E7="",'Grunduppgifter old'!E13,'Grunduppgifter old'!E14*2*'Familj A'!E9)</f>
        <v>606</v>
      </c>
      <c r="F14" s="14">
        <f>IF('Familj B'!E7="",'Grunduppgifter old'!E13,'Grunduppgifter old'!E14*2*'Familj B'!E9)</f>
        <v>720</v>
      </c>
    </row>
    <row r="15" spans="1:256" x14ac:dyDescent="0.2">
      <c r="C15" s="13" t="s">
        <v>8</v>
      </c>
      <c r="D15" s="14">
        <f>'Familj A'!E24+'Familj A'!E25</f>
        <v>0</v>
      </c>
      <c r="F15" s="14">
        <f>'Familj B'!E24+'Familj B'!E25</f>
        <v>0</v>
      </c>
    </row>
    <row r="16" spans="1:256" x14ac:dyDescent="0.2">
      <c r="C16" s="13" t="s">
        <v>9</v>
      </c>
      <c r="D16" s="14">
        <f>'Familj A'!E35</f>
        <v>0</v>
      </c>
      <c r="F16" s="14">
        <f>'Familj B'!E35</f>
        <v>0</v>
      </c>
    </row>
    <row r="17" spans="1:256" x14ac:dyDescent="0.2">
      <c r="C17" s="13" t="s">
        <v>10</v>
      </c>
      <c r="D17" s="14">
        <f>SUM(D13:D16)</f>
        <v>906</v>
      </c>
      <c r="F17" s="14">
        <f>SUM(F13:F16)</f>
        <v>1120</v>
      </c>
    </row>
    <row r="18" spans="1:256" s="21" customFormat="1" ht="9.9499999999999993" customHeight="1" x14ac:dyDescent="0.25">
      <c r="A18" s="19"/>
      <c r="B18" s="20"/>
      <c r="E18" s="22"/>
      <c r="G18" s="23"/>
      <c r="H18" s="24"/>
      <c r="I18" s="23"/>
      <c r="J18"/>
      <c r="K18"/>
      <c r="L18"/>
      <c r="M18"/>
      <c r="IU18"/>
      <c r="IV18"/>
    </row>
    <row r="19" spans="1:256" s="16" customFormat="1" ht="15.75" x14ac:dyDescent="0.25">
      <c r="C19" s="16" t="s">
        <v>11</v>
      </c>
      <c r="D19" s="30">
        <f>D8-D17</f>
        <v>-906</v>
      </c>
      <c r="E19" s="30"/>
      <c r="F19" s="30">
        <f>F8-F17</f>
        <v>-1120</v>
      </c>
      <c r="H19" s="31"/>
    </row>
    <row r="20" spans="1:256" hidden="1" x14ac:dyDescent="0.2">
      <c r="D20" s="14">
        <f>IF(D19&lt;0,0,D19)</f>
        <v>0</v>
      </c>
      <c r="F20" s="14">
        <f>IF(F19&lt;0,0,F19)</f>
        <v>0</v>
      </c>
    </row>
    <row r="21" spans="1:256" x14ac:dyDescent="0.2">
      <c r="C21" s="13" t="s">
        <v>12</v>
      </c>
      <c r="D21" s="32">
        <f>IF(D20&lt;=0,0,D20/(D20+F20))</f>
        <v>0</v>
      </c>
      <c r="E21" s="32"/>
      <c r="F21" s="32">
        <f>IF(F20&lt;=0,0,F20/(D20+F20))</f>
        <v>0</v>
      </c>
    </row>
    <row r="22" spans="1:256" s="21" customFormat="1" ht="9.9499999999999993" customHeight="1" x14ac:dyDescent="0.25">
      <c r="A22" s="19"/>
      <c r="B22" s="20"/>
      <c r="E22" s="22"/>
      <c r="G22" s="23"/>
      <c r="H22" s="24"/>
      <c r="I22" s="23"/>
      <c r="J22"/>
      <c r="K22"/>
      <c r="L22"/>
      <c r="M22"/>
      <c r="IU22"/>
      <c r="IV22"/>
    </row>
    <row r="23" spans="1:256" ht="15.75" x14ac:dyDescent="0.25">
      <c r="B23" s="25" t="s">
        <v>125</v>
      </c>
      <c r="D23" s="129" t="s">
        <v>260</v>
      </c>
      <c r="F23" s="33"/>
    </row>
    <row r="24" spans="1:256" s="21" customFormat="1" ht="9.9499999999999993" customHeight="1" x14ac:dyDescent="0.25">
      <c r="A24" s="19"/>
      <c r="B24" s="20"/>
      <c r="D24" s="128"/>
      <c r="E24" s="22"/>
      <c r="G24" s="23"/>
      <c r="H24" s="24"/>
      <c r="I24" s="23"/>
      <c r="J24"/>
      <c r="K24"/>
      <c r="L24"/>
      <c r="M24"/>
      <c r="IU24"/>
      <c r="IV24"/>
    </row>
    <row r="25" spans="1:256" x14ac:dyDescent="0.2">
      <c r="C25" s="13" t="s">
        <v>126</v>
      </c>
      <c r="D25" s="14">
        <f>Underhållstagar!E8</f>
        <v>0</v>
      </c>
      <c r="F25" s="14">
        <f>Underhållstagar!E9</f>
        <v>0</v>
      </c>
    </row>
    <row r="26" spans="1:256" x14ac:dyDescent="0.2">
      <c r="C26" s="13" t="s">
        <v>127</v>
      </c>
      <c r="D26" s="14">
        <f>Underhållstagar!E32</f>
        <v>0</v>
      </c>
      <c r="F26" s="14">
        <f>Underhållstagar!E44</f>
        <v>0</v>
      </c>
    </row>
    <row r="27" spans="1:256" x14ac:dyDescent="0.2">
      <c r="C27" s="13" t="s">
        <v>13</v>
      </c>
      <c r="D27" s="14">
        <f>IF(D12&lt;=0,0,D12)</f>
        <v>0</v>
      </c>
      <c r="F27" s="14">
        <f>IF(F12&lt;=0,0,F12)</f>
        <v>0</v>
      </c>
    </row>
    <row r="28" spans="1:256" x14ac:dyDescent="0.2">
      <c r="C28" s="13" t="s">
        <v>14</v>
      </c>
      <c r="D28" s="14">
        <f>IF(Underhållstagar!E15="",0,Underhållstagar!E15)</f>
        <v>0</v>
      </c>
      <c r="F28" s="14">
        <f>IF(Underhållstagar!E16="",0,Underhållstagar!E16)</f>
        <v>0</v>
      </c>
    </row>
    <row r="29" spans="1:256" x14ac:dyDescent="0.2">
      <c r="C29" s="13" t="s">
        <v>15</v>
      </c>
      <c r="D29" s="14">
        <f>Underhållstagar!E18/2</f>
        <v>0</v>
      </c>
      <c r="F29" s="14">
        <f>Underhållstagar!E18/2</f>
        <v>0</v>
      </c>
    </row>
    <row r="30" spans="1:256" x14ac:dyDescent="0.2">
      <c r="C30" s="13" t="s">
        <v>10</v>
      </c>
      <c r="D30" s="14">
        <f>SUM(D25:D27)-(D28+D29)</f>
        <v>0</v>
      </c>
      <c r="F30" s="14">
        <f>SUM(F25:F27)-(F28+F29)</f>
        <v>0</v>
      </c>
    </row>
    <row r="31" spans="1:256" s="21" customFormat="1" ht="9.9499999999999993" customHeight="1" x14ac:dyDescent="0.25">
      <c r="A31" s="19"/>
      <c r="B31" s="20"/>
      <c r="E31" s="22"/>
      <c r="G31" s="23"/>
      <c r="H31" s="24"/>
      <c r="I31" s="23"/>
      <c r="J31"/>
      <c r="K31"/>
      <c r="L31"/>
      <c r="M31"/>
      <c r="IU31"/>
      <c r="IV31"/>
    </row>
    <row r="32" spans="1:256" x14ac:dyDescent="0.2">
      <c r="B32" s="25" t="s">
        <v>16</v>
      </c>
    </row>
    <row r="33" spans="1:256" s="21" customFormat="1" ht="9.9499999999999993" customHeight="1" x14ac:dyDescent="0.25">
      <c r="A33" s="19"/>
      <c r="B33" s="20"/>
      <c r="E33" s="22"/>
      <c r="G33" s="23"/>
      <c r="H33" s="24"/>
      <c r="I33" s="23"/>
      <c r="J33"/>
      <c r="K33"/>
      <c r="L33"/>
      <c r="M33"/>
      <c r="IU33"/>
      <c r="IV33"/>
    </row>
    <row r="34" spans="1:256" s="21" customFormat="1" ht="15" hidden="1" customHeight="1" x14ac:dyDescent="0.25">
      <c r="A34" s="19"/>
      <c r="B34" s="20"/>
      <c r="D34" s="21">
        <f>IF(D19&lt;D30,0,IF(D36&lt;D30,0,1))</f>
        <v>0</v>
      </c>
      <c r="E34" s="22"/>
      <c r="F34" s="21">
        <f>IF(F19&lt;F30,0,IF(F36&lt;F30,0,1))</f>
        <v>0</v>
      </c>
      <c r="G34" s="23"/>
      <c r="H34" s="24"/>
      <c r="I34" s="23"/>
      <c r="J34"/>
      <c r="K34"/>
      <c r="L34"/>
      <c r="M34"/>
      <c r="IU34"/>
      <c r="IV34"/>
    </row>
    <row r="35" spans="1:256" x14ac:dyDescent="0.2">
      <c r="C35" s="13" t="s">
        <v>17</v>
      </c>
      <c r="D35" s="32">
        <f>D21</f>
        <v>0</v>
      </c>
      <c r="E35" s="32"/>
      <c r="F35" s="32">
        <f>F21</f>
        <v>0</v>
      </c>
    </row>
    <row r="36" spans="1:256" x14ac:dyDescent="0.2">
      <c r="C36" s="13" t="s">
        <v>140</v>
      </c>
      <c r="D36" s="14">
        <f>D35*(D30+F30)</f>
        <v>0</v>
      </c>
      <c r="F36" s="14">
        <f>F35*(D30+F30)</f>
        <v>0</v>
      </c>
    </row>
    <row r="37" spans="1:256" ht="15.75" x14ac:dyDescent="0.25">
      <c r="C37" s="16" t="s">
        <v>139</v>
      </c>
      <c r="D37" s="26" t="str">
        <f>IF(D34=0,"-",IF(D19&lt;D30,0,IF(D19&lt;D36,D19-D30,D36-D30)))</f>
        <v>-</v>
      </c>
      <c r="F37" s="26" t="str">
        <f>IF(F34=0,"-",IF(F19&lt;F30,0,IF(F19&lt;F36,F19-F30,F36-F30)))</f>
        <v>-</v>
      </c>
    </row>
    <row r="38" spans="1:256" x14ac:dyDescent="0.2">
      <c r="C38" s="13" t="s">
        <v>18</v>
      </c>
      <c r="D38" s="14" t="str">
        <f>IF(D34=0,"",D37/Underhållstagar!D5)</f>
        <v/>
      </c>
      <c r="F38" s="14" t="str">
        <f>IF(F34=0,"",F37/Underhållstagar!D5)</f>
        <v/>
      </c>
    </row>
    <row r="39" spans="1:256" s="21" customFormat="1" ht="9.9499999999999993" customHeight="1" x14ac:dyDescent="0.25">
      <c r="A39" s="19"/>
      <c r="B39" s="20"/>
      <c r="E39" s="22"/>
      <c r="G39" s="23"/>
      <c r="H39" s="24"/>
      <c r="I39" s="23"/>
      <c r="J39"/>
      <c r="K39"/>
      <c r="L39"/>
      <c r="M39"/>
      <c r="IU39"/>
      <c r="IV39"/>
    </row>
    <row r="40" spans="1:256" s="21" customFormat="1" ht="15" customHeight="1" x14ac:dyDescent="0.25">
      <c r="A40" s="19"/>
      <c r="B40" s="20" t="s">
        <v>132</v>
      </c>
      <c r="E40" s="22"/>
      <c r="G40" s="23"/>
      <c r="H40" s="24"/>
      <c r="I40" s="23"/>
      <c r="J40"/>
      <c r="K40"/>
      <c r="L40"/>
      <c r="M40"/>
      <c r="IU40"/>
      <c r="IV40"/>
    </row>
    <row r="41" spans="1:256" s="21" customFormat="1" ht="9.9499999999999993" customHeight="1" x14ac:dyDescent="0.25">
      <c r="A41" s="19"/>
      <c r="B41" s="20"/>
      <c r="E41" s="22"/>
      <c r="G41" s="23"/>
      <c r="H41" s="24"/>
      <c r="I41" s="23"/>
      <c r="J41"/>
      <c r="K41"/>
      <c r="L41"/>
      <c r="M41"/>
      <c r="IU41"/>
      <c r="IV41"/>
    </row>
    <row r="42" spans="1:256" s="21" customFormat="1" ht="15" customHeight="1" x14ac:dyDescent="0.25">
      <c r="A42" s="19"/>
      <c r="B42" s="20"/>
      <c r="C42" s="21" t="s">
        <v>136</v>
      </c>
      <c r="D42" s="22">
        <f>IF(D19&lt;=0,0,D19-D12)</f>
        <v>0</v>
      </c>
      <c r="E42" s="22"/>
      <c r="F42" s="22">
        <f>IF(F19&lt;=0,0,F19-F12)</f>
        <v>0</v>
      </c>
      <c r="G42" s="23"/>
      <c r="H42" s="24"/>
      <c r="I42" s="23"/>
      <c r="J42"/>
      <c r="K42"/>
      <c r="L42"/>
      <c r="M42"/>
      <c r="IU42"/>
      <c r="IV42"/>
    </row>
    <row r="43" spans="1:256" s="21" customFormat="1" ht="15" customHeight="1" x14ac:dyDescent="0.25">
      <c r="A43" s="19"/>
      <c r="B43" s="20"/>
      <c r="C43" s="21" t="s">
        <v>137</v>
      </c>
      <c r="D43" s="22">
        <f>Underhållstagar!D5*Grunduppgifter!E52</f>
        <v>0</v>
      </c>
      <c r="E43" s="22"/>
      <c r="F43" s="22">
        <f>Underhållstagar!D5*Grunduppgifter!E52</f>
        <v>0</v>
      </c>
      <c r="G43" s="23"/>
      <c r="H43" s="24"/>
      <c r="I43" s="23"/>
      <c r="J43"/>
      <c r="K43"/>
      <c r="L43"/>
      <c r="M43"/>
      <c r="IU43"/>
      <c r="IV43"/>
    </row>
    <row r="44" spans="1:256" s="21" customFormat="1" ht="15" customHeight="1" x14ac:dyDescent="0.25">
      <c r="A44" s="19"/>
      <c r="B44" s="20"/>
      <c r="C44" s="21" t="s">
        <v>133</v>
      </c>
      <c r="D44" s="128" t="str">
        <f>IF(D34=0,"",IF(D42&lt;D43,"Kyllä","Ei"))</f>
        <v/>
      </c>
      <c r="E44" s="22"/>
      <c r="F44" s="128" t="str">
        <f>IF(F34=0,"",IF(F42&lt;F43,"Kyllä","Ei"))</f>
        <v/>
      </c>
      <c r="G44" s="23"/>
      <c r="H44" s="24"/>
      <c r="I44" s="23"/>
      <c r="J44"/>
      <c r="K44"/>
      <c r="L44"/>
      <c r="M44"/>
      <c r="IU44"/>
      <c r="IV44"/>
    </row>
    <row r="45" spans="1:256" s="21" customFormat="1" ht="9.9499999999999993" customHeight="1" x14ac:dyDescent="0.25">
      <c r="A45" s="19"/>
      <c r="B45" s="20"/>
      <c r="E45" s="22"/>
      <c r="G45" s="23"/>
      <c r="H45" s="24"/>
      <c r="I45" s="23"/>
      <c r="J45"/>
      <c r="K45"/>
      <c r="L45"/>
      <c r="M45"/>
      <c r="IU45"/>
      <c r="IV45"/>
    </row>
    <row r="46" spans="1:256" x14ac:dyDescent="0.2">
      <c r="B46" s="13" t="s">
        <v>19</v>
      </c>
    </row>
    <row r="47" spans="1:256" s="21" customFormat="1" ht="9.9499999999999993" customHeight="1" x14ac:dyDescent="0.25">
      <c r="A47" s="19"/>
      <c r="B47" s="20"/>
      <c r="E47" s="22"/>
      <c r="G47" s="23"/>
      <c r="H47" s="24"/>
      <c r="I47" s="23"/>
      <c r="J47"/>
      <c r="K47"/>
      <c r="L47"/>
      <c r="M47"/>
      <c r="IU47"/>
      <c r="IV47"/>
    </row>
    <row r="48" spans="1:256" x14ac:dyDescent="0.2">
      <c r="C48" s="13" t="s">
        <v>11</v>
      </c>
      <c r="D48" s="14">
        <f>D20</f>
        <v>0</v>
      </c>
      <c r="F48" s="14">
        <f>F20</f>
        <v>0</v>
      </c>
    </row>
    <row r="49" spans="1:256" x14ac:dyDescent="0.2">
      <c r="C49" s="13" t="s">
        <v>20</v>
      </c>
      <c r="D49" s="14">
        <f>IF('Familj A'!E28&gt;'Familj A'!E32,('Familj A'!E28-'Familj A'!E32)*'Familj A'!E9,0)</f>
        <v>0</v>
      </c>
      <c r="F49" s="14">
        <f>IF('Familj B'!E28&gt;'Familj B'!E32,('Familj B'!E28-'Familj B'!E32)*'Familj B'!E9,0)</f>
        <v>0</v>
      </c>
    </row>
    <row r="50" spans="1:256" x14ac:dyDescent="0.2">
      <c r="C50" s="13" t="s">
        <v>21</v>
      </c>
      <c r="D50" s="17" t="str">
        <f>IF(D34=0,"",D37)</f>
        <v/>
      </c>
      <c r="F50" s="17" t="str">
        <f>IF(F34=0,"",F37)</f>
        <v/>
      </c>
      <c r="G50" s="17"/>
    </row>
    <row r="51" spans="1:256" x14ac:dyDescent="0.2">
      <c r="C51" s="13" t="s">
        <v>22</v>
      </c>
      <c r="D51" s="14" t="str">
        <f>IF(D34=0,"",D48-D50-D49)</f>
        <v/>
      </c>
      <c r="F51" s="14" t="str">
        <f>IF(F34=0,"",F48-F50-F49)</f>
        <v/>
      </c>
    </row>
    <row r="52" spans="1:256" ht="8.25" customHeight="1" x14ac:dyDescent="0.2"/>
    <row r="53" spans="1:256" x14ac:dyDescent="0.2">
      <c r="A53" s="13" t="s">
        <v>23</v>
      </c>
    </row>
    <row r="54" spans="1:256" s="21" customFormat="1" ht="7.5" customHeight="1" x14ac:dyDescent="0.25">
      <c r="A54" s="19"/>
      <c r="B54" s="34"/>
      <c r="C54" s="27"/>
      <c r="D54" s="27"/>
      <c r="E54" s="35"/>
      <c r="F54" s="27"/>
      <c r="G54" s="23"/>
      <c r="H54" s="24"/>
      <c r="I54" s="23"/>
      <c r="J54"/>
      <c r="K54"/>
      <c r="L54"/>
      <c r="M54"/>
      <c r="IU54"/>
      <c r="IV54"/>
    </row>
    <row r="55" spans="1:256" x14ac:dyDescent="0.2">
      <c r="B55" s="152"/>
      <c r="C55" s="152"/>
      <c r="D55" s="152"/>
      <c r="E55" s="152"/>
      <c r="F55" s="152"/>
    </row>
    <row r="56" spans="1:256" x14ac:dyDescent="0.2">
      <c r="B56" s="152"/>
      <c r="C56" s="152"/>
      <c r="D56" s="152"/>
      <c r="E56" s="152"/>
      <c r="F56" s="152"/>
    </row>
    <row r="57" spans="1:256" x14ac:dyDescent="0.2">
      <c r="B57" s="152"/>
      <c r="C57" s="152"/>
      <c r="D57" s="152"/>
      <c r="E57" s="152"/>
      <c r="F57" s="152"/>
    </row>
    <row r="58" spans="1:256" x14ac:dyDescent="0.2">
      <c r="B58" s="152"/>
      <c r="C58" s="152"/>
      <c r="D58" s="152"/>
      <c r="E58" s="152"/>
      <c r="F58" s="152"/>
    </row>
    <row r="59" spans="1:256" x14ac:dyDescent="0.2">
      <c r="B59" s="152"/>
      <c r="C59" s="152"/>
      <c r="D59" s="152"/>
      <c r="E59" s="152"/>
      <c r="F59" s="152"/>
    </row>
  </sheetData>
  <sheetProtection sheet="1" objects="1" scenarios="1" insertHyperlinks="0"/>
  <mergeCells count="1">
    <mergeCell ref="B55:F59"/>
  </mergeCells>
  <hyperlinks>
    <hyperlink ref="D5" location="'Familj A'!A1" display="Spec …" xr:uid="{00000000-0004-0000-0100-000000000000}"/>
    <hyperlink ref="F5" location="'Familj B'!A1" display="Spec ..." xr:uid="{00000000-0004-0000-0100-000001000000}"/>
    <hyperlink ref="D23" location="Underhållstagar!A1" display="Spec …" xr:uid="{24E1BBB5-539B-4452-995F-19D1173B6A7B}"/>
  </hyperlinks>
  <pageMargins left="0.7" right="0.7" top="0.75" bottom="0.75" header="0.3" footer="0.3"/>
  <pageSetup paperSize="9" scale="94"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2E67E-E507-4B00-9C39-3EFBA864932C}">
  <sheetPr>
    <pageSetUpPr fitToPage="1"/>
  </sheetPr>
  <dimension ref="A1:IV54"/>
  <sheetViews>
    <sheetView showGridLines="0" zoomScaleNormal="100" workbookViewId="0">
      <selection activeCell="G5" sqref="G5"/>
    </sheetView>
  </sheetViews>
  <sheetFormatPr defaultColWidth="11.5703125" defaultRowHeight="15" x14ac:dyDescent="0.2"/>
  <cols>
    <col min="1" max="1" width="2.42578125" style="21" customWidth="1"/>
    <col min="2" max="2" width="4.7109375" style="20" customWidth="1"/>
    <col min="3" max="3" width="40.28515625" style="21" customWidth="1"/>
    <col min="4" max="4" width="7.5703125" style="21" customWidth="1"/>
    <col min="5" max="5" width="15.28515625" style="22" customWidth="1"/>
    <col min="6" max="6" width="2.7109375" style="21" customWidth="1"/>
    <col min="7" max="9" width="5.140625" style="23" customWidth="1"/>
    <col min="10" max="10" width="5" style="13" customWidth="1"/>
    <col min="11" max="11" width="36.140625" style="70" customWidth="1"/>
    <col min="12" max="254" width="11.5703125" style="21"/>
  </cols>
  <sheetData>
    <row r="1" spans="1:13" ht="15.75" x14ac:dyDescent="0.25">
      <c r="A1" s="19" t="s">
        <v>194</v>
      </c>
      <c r="E1" s="141" t="s">
        <v>153</v>
      </c>
      <c r="F1"/>
      <c r="G1"/>
      <c r="H1"/>
      <c r="I1" s="36" t="s">
        <v>229</v>
      </c>
      <c r="J1"/>
      <c r="K1" s="3"/>
      <c r="L1"/>
      <c r="M1" s="37"/>
    </row>
    <row r="2" spans="1:13" ht="9.9499999999999993" customHeight="1" x14ac:dyDescent="0.25">
      <c r="A2" s="19"/>
      <c r="L2"/>
      <c r="M2"/>
    </row>
    <row r="3" spans="1:13" ht="15.75" x14ac:dyDescent="0.25">
      <c r="A3" s="19"/>
      <c r="B3" s="20" t="s">
        <v>195</v>
      </c>
      <c r="C3"/>
      <c r="D3"/>
      <c r="E3" s="20"/>
    </row>
    <row r="4" spans="1:13" ht="15.75" x14ac:dyDescent="0.25">
      <c r="A4" s="19"/>
      <c r="C4"/>
      <c r="D4"/>
      <c r="E4" s="20"/>
      <c r="G4" s="48">
        <v>7</v>
      </c>
      <c r="H4" s="48">
        <v>13</v>
      </c>
      <c r="I4" s="48">
        <v>18</v>
      </c>
    </row>
    <row r="5" spans="1:13" ht="15.75" x14ac:dyDescent="0.25">
      <c r="A5" s="19"/>
      <c r="C5" s="21" t="s">
        <v>196</v>
      </c>
      <c r="D5" s="51">
        <f>SUM(G5:I5)</f>
        <v>0</v>
      </c>
      <c r="E5" s="46">
        <f>IF(G5&gt;0,VLOOKUP(G$4,Lasten_kustannukset,3)*G5,0)+IF(H5&gt;0,VLOOKUP(H$4,Lasten_kustannukset,3)*H5,0)+IF(I5&gt;0,VLOOKUP(I$4,Lasten_kustannukset,3)*I5,0)</f>
        <v>0</v>
      </c>
      <c r="F5" s="52"/>
      <c r="G5" s="123"/>
      <c r="H5" s="124"/>
      <c r="I5" s="125"/>
      <c r="J5" s="23"/>
      <c r="K5" s="24"/>
    </row>
    <row r="6" spans="1:13" ht="9.9499999999999993" customHeight="1" x14ac:dyDescent="0.25">
      <c r="A6" s="19"/>
      <c r="D6" s="51"/>
      <c r="E6" s="46"/>
      <c r="F6" s="52"/>
      <c r="G6" s="57"/>
      <c r="H6" s="57"/>
      <c r="I6" s="57"/>
      <c r="J6" s="23"/>
      <c r="K6" s="24"/>
    </row>
    <row r="7" spans="1:13" ht="15.75" x14ac:dyDescent="0.25">
      <c r="A7" s="19"/>
      <c r="C7" s="66" t="s">
        <v>197</v>
      </c>
      <c r="D7" s="51"/>
      <c r="E7" s="46"/>
      <c r="F7" s="52"/>
      <c r="G7" s="57"/>
      <c r="H7" s="57"/>
      <c r="I7" s="57"/>
      <c r="J7" s="23"/>
      <c r="K7" s="24"/>
    </row>
    <row r="8" spans="1:13" ht="15.75" x14ac:dyDescent="0.25">
      <c r="A8" s="19"/>
      <c r="C8" s="121" t="s">
        <v>198</v>
      </c>
      <c r="D8" s="127">
        <v>0.5</v>
      </c>
      <c r="E8" s="46">
        <f>E5*D8</f>
        <v>0</v>
      </c>
      <c r="F8" s="52"/>
      <c r="G8" s="132" t="str">
        <f>IF('Familj A'!E3="","?",'Familj A'!E3)</f>
        <v>?</v>
      </c>
      <c r="H8" s="57"/>
      <c r="I8" s="57"/>
      <c r="J8" s="23"/>
      <c r="K8" s="24"/>
    </row>
    <row r="9" spans="1:13" ht="15.75" x14ac:dyDescent="0.25">
      <c r="A9" s="19"/>
      <c r="C9" s="121" t="s">
        <v>199</v>
      </c>
      <c r="D9" s="126">
        <f>1-D8</f>
        <v>0.5</v>
      </c>
      <c r="E9" s="46">
        <f>E5*D9</f>
        <v>0</v>
      </c>
      <c r="F9" s="52"/>
      <c r="G9" s="132" t="str">
        <f>IF('Familj B'!E3="","?",'Familj B'!E3)</f>
        <v>?</v>
      </c>
      <c r="H9" s="57"/>
      <c r="I9" s="57"/>
      <c r="J9" s="23"/>
      <c r="K9" s="24"/>
    </row>
    <row r="10" spans="1:13" ht="15.75" x14ac:dyDescent="0.25">
      <c r="A10" s="19"/>
      <c r="D10" s="51"/>
      <c r="E10" s="46"/>
      <c r="F10" s="52"/>
      <c r="G10" s="57"/>
      <c r="H10" s="57"/>
      <c r="I10" s="57"/>
      <c r="J10" s="23"/>
      <c r="K10" s="24"/>
    </row>
    <row r="11" spans="1:13" x14ac:dyDescent="0.2">
      <c r="B11" s="20" t="s">
        <v>200</v>
      </c>
      <c r="E11" s="21"/>
      <c r="F11" s="52"/>
      <c r="G11" s="57"/>
      <c r="H11" s="57"/>
      <c r="I11" s="57"/>
      <c r="J11" s="23"/>
      <c r="K11" s="24"/>
    </row>
    <row r="12" spans="1:13" ht="9.9499999999999993" customHeight="1" x14ac:dyDescent="0.2">
      <c r="E12" s="21"/>
      <c r="F12" s="52"/>
      <c r="G12" s="57"/>
      <c r="H12" s="57"/>
      <c r="I12" s="57"/>
      <c r="J12" s="23"/>
      <c r="K12" s="24"/>
    </row>
    <row r="13" spans="1:13" x14ac:dyDescent="0.2">
      <c r="C13" s="21" t="s">
        <v>201</v>
      </c>
      <c r="D13" s="128" t="s">
        <v>202</v>
      </c>
      <c r="E13" s="128" t="s">
        <v>203</v>
      </c>
      <c r="F13" s="52"/>
      <c r="G13" s="57"/>
      <c r="H13" s="57"/>
      <c r="I13" s="57"/>
      <c r="J13" s="23"/>
      <c r="K13" s="24"/>
    </row>
    <row r="14" spans="1:13" ht="9.9499999999999993" customHeight="1" x14ac:dyDescent="0.2">
      <c r="E14" s="21"/>
      <c r="F14" s="52"/>
      <c r="G14" s="57"/>
      <c r="H14" s="57"/>
      <c r="I14" s="57"/>
      <c r="J14" s="23"/>
      <c r="K14" s="24"/>
    </row>
    <row r="15" spans="1:13" x14ac:dyDescent="0.2">
      <c r="C15" s="21" t="s">
        <v>198</v>
      </c>
      <c r="D15" s="133"/>
      <c r="E15" s="22" t="str">
        <f>IF(ISNUMBER(D15),IF(ISNUMBER('Familj A'!E14),IF('Familj A'!E14&gt;5,((Grunduppgifter!G50+('Familj A'!E14-5)*Grunduppgifter!E50)+('Familj A'!E15*Grunduppgifter!E45))/'Familj A'!E14*D15,(VLOOKUP('Familj A'!E14,Lapsilisat,5)+('Familj A'!E15*Grunduppgifter!E45))/'Familj A'!E14*D15),""),"")</f>
        <v/>
      </c>
      <c r="F15" s="52"/>
      <c r="G15" s="57"/>
      <c r="H15" s="57"/>
      <c r="I15" s="57"/>
      <c r="J15" s="23"/>
      <c r="K15" s="24"/>
    </row>
    <row r="16" spans="1:13" x14ac:dyDescent="0.2">
      <c r="C16" s="21" t="s">
        <v>199</v>
      </c>
      <c r="D16" s="134"/>
      <c r="E16" s="22" t="str">
        <f>IF(ISNUMBER(D16),IF(ISNUMBER('Familj B'!E14),IF('Familj B'!E14&gt;5,((Grunduppgifter!G50+('Familj B'!E14-5)*Grunduppgifter!E50)+('Familj B'!E15*Grunduppgifter!E45))/'Familj B'!E14*D16,(VLOOKUP('Familj B'!E14,Lapsilisat,5)+('Familj B'!E15*Grunduppgifter!E45))/'Familj B'!E14*D16),""),"")</f>
        <v/>
      </c>
      <c r="F16" s="52"/>
      <c r="G16" s="57"/>
      <c r="H16" s="57"/>
      <c r="I16" s="57"/>
      <c r="J16" s="23"/>
      <c r="K16" s="24"/>
    </row>
    <row r="17" spans="1:256" ht="15" customHeight="1" x14ac:dyDescent="0.2">
      <c r="D17" s="140" t="str">
        <f>IF(SUM(D15:D16)&gt;D5,"Virhe","")</f>
        <v/>
      </c>
      <c r="E17" s="21"/>
      <c r="F17" s="52"/>
      <c r="G17" s="57"/>
      <c r="H17" s="57"/>
      <c r="I17" s="57"/>
      <c r="J17" s="23"/>
      <c r="K17" s="24"/>
    </row>
    <row r="18" spans="1:256" x14ac:dyDescent="0.2">
      <c r="C18" s="21" t="s">
        <v>204</v>
      </c>
      <c r="E18" s="64">
        <f>SUM(E21:E28)</f>
        <v>0</v>
      </c>
      <c r="F18" s="52"/>
      <c r="G18" s="57"/>
      <c r="H18" s="57"/>
      <c r="I18" s="57"/>
      <c r="J18" s="23"/>
      <c r="K18" s="24"/>
    </row>
    <row r="19" spans="1:256" ht="9.9499999999999993" customHeight="1" x14ac:dyDescent="0.25">
      <c r="A19" s="19"/>
      <c r="F19" s="52"/>
      <c r="G19" s="57"/>
      <c r="H19" s="57"/>
      <c r="I19" s="57"/>
      <c r="J19" s="23"/>
      <c r="K19" s="24"/>
    </row>
    <row r="20" spans="1:256" x14ac:dyDescent="0.2">
      <c r="A20" s="65"/>
      <c r="C20" s="66" t="s">
        <v>206</v>
      </c>
      <c r="D20" s="66"/>
      <c r="E20" s="66"/>
      <c r="F20" s="52"/>
      <c r="G20" s="57"/>
      <c r="H20" s="57"/>
      <c r="I20" s="57"/>
      <c r="J20" s="23"/>
      <c r="K20" s="24"/>
    </row>
    <row r="21" spans="1:256" x14ac:dyDescent="0.2">
      <c r="C21" s="43"/>
      <c r="E21" s="43"/>
      <c r="F21" s="52"/>
      <c r="G21" s="57"/>
      <c r="H21" s="57"/>
      <c r="I21" s="57"/>
      <c r="J21" s="23"/>
      <c r="K21" s="24"/>
    </row>
    <row r="22" spans="1:256" x14ac:dyDescent="0.2">
      <c r="C22" s="44"/>
      <c r="E22" s="44"/>
      <c r="F22" s="52"/>
      <c r="G22" s="57"/>
      <c r="H22" s="57"/>
      <c r="I22" s="57"/>
      <c r="J22" s="23"/>
      <c r="K22" s="24"/>
    </row>
    <row r="23" spans="1:256" x14ac:dyDescent="0.2">
      <c r="C23" s="44"/>
      <c r="E23" s="44"/>
      <c r="F23" s="52"/>
      <c r="G23" s="57"/>
      <c r="H23" s="57"/>
      <c r="I23" s="57"/>
      <c r="J23" s="23"/>
      <c r="K23" s="24"/>
    </row>
    <row r="24" spans="1:256" x14ac:dyDescent="0.2">
      <c r="C24" s="44"/>
      <c r="E24" s="44"/>
      <c r="F24" s="52"/>
      <c r="G24" s="57"/>
      <c r="H24" s="57"/>
      <c r="I24" s="57"/>
      <c r="J24" s="23"/>
      <c r="K24" s="24"/>
    </row>
    <row r="25" spans="1:256" x14ac:dyDescent="0.2">
      <c r="C25" s="44"/>
      <c r="E25" s="44"/>
      <c r="F25" s="52"/>
      <c r="G25" s="57"/>
      <c r="H25" s="57"/>
      <c r="I25" s="57"/>
      <c r="J25" s="23"/>
      <c r="K25" s="24"/>
    </row>
    <row r="26" spans="1:256" x14ac:dyDescent="0.2">
      <c r="C26" s="44"/>
      <c r="E26" s="44"/>
      <c r="F26" s="52"/>
      <c r="G26" s="57"/>
      <c r="H26" s="57"/>
      <c r="I26" s="57"/>
      <c r="J26" s="23"/>
      <c r="K26" s="24"/>
    </row>
    <row r="27" spans="1:256" x14ac:dyDescent="0.2">
      <c r="C27" s="44"/>
      <c r="E27" s="44"/>
      <c r="F27" s="52"/>
      <c r="G27" s="57"/>
      <c r="H27" s="57"/>
      <c r="I27" s="57"/>
      <c r="J27" s="23"/>
      <c r="K27" s="24"/>
    </row>
    <row r="28" spans="1:256" x14ac:dyDescent="0.2">
      <c r="C28" s="50"/>
      <c r="E28" s="50"/>
      <c r="F28" s="52"/>
      <c r="G28" s="57"/>
      <c r="H28" s="57"/>
      <c r="I28" s="57"/>
      <c r="J28" s="23"/>
      <c r="K28" s="24"/>
    </row>
    <row r="29" spans="1:256" ht="9.9499999999999993" customHeight="1" x14ac:dyDescent="0.2"/>
    <row r="30" spans="1:256" s="21" customFormat="1" x14ac:dyDescent="0.2">
      <c r="B30" s="20" t="s">
        <v>205</v>
      </c>
      <c r="H30" s="22"/>
      <c r="IU30"/>
      <c r="IV30"/>
    </row>
    <row r="31" spans="1:256" s="21" customFormat="1" ht="9.9499999999999993" customHeight="1" x14ac:dyDescent="0.2">
      <c r="B31" s="20"/>
      <c r="H31" s="22"/>
      <c r="IU31"/>
      <c r="IV31"/>
    </row>
    <row r="32" spans="1:256" x14ac:dyDescent="0.2">
      <c r="C32" s="21" t="s">
        <v>198</v>
      </c>
      <c r="E32" s="64">
        <f>SUM(E35:E42)</f>
        <v>0</v>
      </c>
      <c r="G32" s="21"/>
      <c r="H32" s="22"/>
      <c r="I32" s="21"/>
      <c r="J32" s="23"/>
      <c r="K32" s="21"/>
    </row>
    <row r="33" spans="1:256" ht="9.9499999999999993" customHeight="1" x14ac:dyDescent="0.25">
      <c r="A33" s="19"/>
      <c r="J33" s="21"/>
      <c r="K33"/>
      <c r="L33"/>
      <c r="IT33"/>
    </row>
    <row r="34" spans="1:256" s="65" customFormat="1" x14ac:dyDescent="0.2">
      <c r="B34" s="20"/>
      <c r="C34" s="66" t="s">
        <v>206</v>
      </c>
      <c r="D34" s="66"/>
      <c r="E34" s="66"/>
      <c r="F34" s="66"/>
      <c r="G34" s="66"/>
      <c r="H34" s="67"/>
      <c r="J34" s="23"/>
      <c r="IV34"/>
    </row>
    <row r="35" spans="1:256" x14ac:dyDescent="0.2">
      <c r="C35" s="43"/>
      <c r="E35" s="43"/>
      <c r="G35" s="21"/>
      <c r="H35" s="22"/>
      <c r="I35" s="21"/>
      <c r="J35" s="21"/>
      <c r="K35" s="21"/>
    </row>
    <row r="36" spans="1:256" x14ac:dyDescent="0.2">
      <c r="C36" s="44"/>
      <c r="E36" s="44"/>
      <c r="G36" s="21"/>
      <c r="H36" s="22"/>
      <c r="I36" s="21"/>
      <c r="J36" s="21"/>
      <c r="K36" s="21"/>
    </row>
    <row r="37" spans="1:256" x14ac:dyDescent="0.2">
      <c r="C37" s="44"/>
      <c r="E37" s="44"/>
      <c r="G37" s="21"/>
      <c r="H37" s="22"/>
      <c r="I37" s="21"/>
      <c r="J37" s="21"/>
      <c r="K37" s="21"/>
    </row>
    <row r="38" spans="1:256" x14ac:dyDescent="0.2">
      <c r="C38" s="44"/>
      <c r="E38" s="44"/>
      <c r="G38" s="21"/>
      <c r="H38" s="22"/>
      <c r="I38" s="21"/>
      <c r="J38" s="21"/>
      <c r="K38" s="21"/>
    </row>
    <row r="39" spans="1:256" x14ac:dyDescent="0.2">
      <c r="C39" s="44"/>
      <c r="E39" s="44"/>
      <c r="G39" s="21"/>
      <c r="H39" s="22"/>
      <c r="I39" s="21"/>
      <c r="J39" s="21"/>
      <c r="K39" s="21"/>
    </row>
    <row r="40" spans="1:256" x14ac:dyDescent="0.2">
      <c r="C40" s="44"/>
      <c r="E40" s="44"/>
      <c r="G40" s="21"/>
      <c r="H40" s="22"/>
      <c r="I40" s="21"/>
      <c r="J40" s="23"/>
      <c r="K40" s="21"/>
    </row>
    <row r="41" spans="1:256" x14ac:dyDescent="0.2">
      <c r="C41" s="44"/>
      <c r="E41" s="44"/>
      <c r="G41" s="21"/>
      <c r="H41" s="22"/>
      <c r="I41" s="21"/>
      <c r="J41" s="21"/>
      <c r="K41" s="21"/>
    </row>
    <row r="42" spans="1:256" x14ac:dyDescent="0.2">
      <c r="C42" s="50"/>
      <c r="E42" s="50"/>
      <c r="G42" s="21"/>
      <c r="H42" s="22"/>
      <c r="I42" s="21"/>
      <c r="J42" s="23"/>
      <c r="K42" s="21"/>
    </row>
    <row r="43" spans="1:256" ht="9.9499999999999993" customHeight="1" x14ac:dyDescent="0.2"/>
    <row r="44" spans="1:256" x14ac:dyDescent="0.2">
      <c r="C44" s="21" t="s">
        <v>199</v>
      </c>
      <c r="E44" s="64">
        <f>SUM(E47:E54)</f>
        <v>0</v>
      </c>
      <c r="G44" s="21"/>
      <c r="H44" s="22"/>
      <c r="I44" s="21"/>
      <c r="J44" s="23"/>
      <c r="K44" s="21"/>
    </row>
    <row r="45" spans="1:256" ht="9.9499999999999993" customHeight="1" x14ac:dyDescent="0.25">
      <c r="A45" s="19"/>
      <c r="J45" s="21"/>
      <c r="K45"/>
      <c r="L45"/>
      <c r="IT45"/>
    </row>
    <row r="46" spans="1:256" s="65" customFormat="1" x14ac:dyDescent="0.2">
      <c r="B46" s="20"/>
      <c r="C46" s="66" t="s">
        <v>206</v>
      </c>
      <c r="D46" s="66"/>
      <c r="E46" s="66"/>
      <c r="F46" s="66"/>
      <c r="G46" s="66"/>
      <c r="H46" s="67"/>
      <c r="J46" s="23"/>
      <c r="IV46"/>
    </row>
    <row r="47" spans="1:256" x14ac:dyDescent="0.2">
      <c r="C47" s="43"/>
      <c r="E47" s="43"/>
      <c r="G47" s="21"/>
      <c r="H47" s="22"/>
      <c r="I47" s="21"/>
      <c r="J47" s="21"/>
      <c r="K47" s="21"/>
    </row>
    <row r="48" spans="1:256" x14ac:dyDescent="0.2">
      <c r="C48" s="44"/>
      <c r="E48" s="44"/>
      <c r="G48" s="21"/>
      <c r="H48" s="22"/>
      <c r="I48" s="21"/>
      <c r="J48" s="21"/>
      <c r="K48" s="21"/>
    </row>
    <row r="49" spans="3:11" x14ac:dyDescent="0.2">
      <c r="C49" s="44"/>
      <c r="E49" s="44"/>
      <c r="G49" s="21"/>
      <c r="H49" s="22"/>
      <c r="I49" s="21"/>
      <c r="J49" s="21"/>
      <c r="K49" s="21"/>
    </row>
    <row r="50" spans="3:11" x14ac:dyDescent="0.2">
      <c r="C50" s="44"/>
      <c r="E50" s="44"/>
      <c r="G50" s="21"/>
      <c r="H50" s="22"/>
      <c r="I50" s="21"/>
      <c r="J50" s="21"/>
      <c r="K50" s="21"/>
    </row>
    <row r="51" spans="3:11" x14ac:dyDescent="0.2">
      <c r="C51" s="44"/>
      <c r="E51" s="44"/>
      <c r="G51" s="21"/>
      <c r="H51" s="22"/>
      <c r="I51" s="21"/>
      <c r="J51" s="21"/>
      <c r="K51" s="21"/>
    </row>
    <row r="52" spans="3:11" x14ac:dyDescent="0.2">
      <c r="C52" s="44"/>
      <c r="E52" s="44"/>
      <c r="G52" s="21"/>
      <c r="H52" s="22"/>
      <c r="I52" s="21"/>
      <c r="J52" s="23"/>
      <c r="K52" s="21"/>
    </row>
    <row r="53" spans="3:11" x14ac:dyDescent="0.2">
      <c r="C53" s="44"/>
      <c r="E53" s="44"/>
      <c r="G53" s="21"/>
      <c r="H53" s="22"/>
      <c r="I53" s="21"/>
      <c r="J53" s="21"/>
      <c r="K53" s="21"/>
    </row>
    <row r="54" spans="3:11" x14ac:dyDescent="0.2">
      <c r="C54" s="50"/>
      <c r="E54" s="50"/>
      <c r="G54" s="21"/>
      <c r="H54" s="22"/>
      <c r="I54" s="21"/>
      <c r="J54" s="23"/>
      <c r="K54" s="21"/>
    </row>
  </sheetData>
  <sheetProtection sheet="1" objects="1" scenarios="1"/>
  <hyperlinks>
    <hyperlink ref="E1" location="Sammandrag!A1" display="Spec ..." xr:uid="{4C287F34-E04A-41FB-ACD3-B89B11A9FAE5}"/>
    <hyperlink ref="C8" location="'Familj A'!A1" display="Familj A" xr:uid="{18E57568-997F-4A05-A8E6-407A924723B5}"/>
    <hyperlink ref="C9" location="'Familj B'!A1" display="Familj B" xr:uid="{69474A5C-4EDB-47A2-8F44-663B501B23C4}"/>
  </hyperlinks>
  <pageMargins left="0.7" right="0.7" top="0.75" bottom="0.75" header="0.3" footer="0.3"/>
  <pageSetup paperSize="9" scale="95" firstPageNumber="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4"/>
  <sheetViews>
    <sheetView showGridLines="0" zoomScaleNormal="100" workbookViewId="0">
      <selection activeCell="E49" sqref="E49"/>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253" width="11.5703125" style="21"/>
  </cols>
  <sheetData>
    <row r="1" spans="1:12" ht="15.75" x14ac:dyDescent="0.25">
      <c r="A1" s="19" t="s">
        <v>121</v>
      </c>
      <c r="E1" s="117" t="s">
        <v>24</v>
      </c>
      <c r="F1"/>
      <c r="G1"/>
      <c r="H1"/>
      <c r="I1" s="36" t="s">
        <v>60</v>
      </c>
      <c r="J1"/>
      <c r="K1"/>
      <c r="L1" s="37"/>
    </row>
    <row r="2" spans="1:12" ht="9.9499999999999993" customHeight="1" x14ac:dyDescent="0.25">
      <c r="A2" s="19"/>
      <c r="J2" s="23"/>
      <c r="K2"/>
      <c r="L2"/>
    </row>
    <row r="3" spans="1:12" ht="15.75" x14ac:dyDescent="0.25">
      <c r="A3" s="19"/>
      <c r="B3" s="20" t="s">
        <v>25</v>
      </c>
    </row>
    <row r="4" spans="1:12" ht="15.75" x14ac:dyDescent="0.25">
      <c r="A4" s="19"/>
      <c r="C4" s="21" t="s">
        <v>26</v>
      </c>
      <c r="E4" s="38" t="s">
        <v>59</v>
      </c>
      <c r="J4" s="23"/>
    </row>
    <row r="5" spans="1:12" ht="15.75" x14ac:dyDescent="0.25">
      <c r="A5" s="19"/>
      <c r="C5" s="21" t="s">
        <v>28</v>
      </c>
      <c r="E5" s="39" t="str">
        <f>IF(LEFT(E4,1)="e",0.5,"")</f>
        <v/>
      </c>
      <c r="K5" s="27"/>
      <c r="L5" s="27"/>
    </row>
    <row r="6" spans="1:12" ht="15.75" x14ac:dyDescent="0.25">
      <c r="A6" s="19"/>
      <c r="C6" s="40" t="s">
        <v>29</v>
      </c>
      <c r="E6" s="41" t="s">
        <v>30</v>
      </c>
      <c r="K6" s="27"/>
      <c r="L6" s="27"/>
    </row>
    <row r="7" spans="1:12" ht="15.75" hidden="1" x14ac:dyDescent="0.25">
      <c r="A7" s="19"/>
      <c r="E7" s="42">
        <f>IF(E5&lt;&gt;"",IF(ISNUMBER(E6),E6,E5),1)</f>
        <v>1</v>
      </c>
    </row>
    <row r="8" spans="1:12" ht="9.9499999999999993" customHeight="1" x14ac:dyDescent="0.25">
      <c r="A8" s="19"/>
      <c r="J8" s="23"/>
      <c r="K8"/>
      <c r="L8"/>
    </row>
    <row r="9" spans="1:12" x14ac:dyDescent="0.2">
      <c r="B9" s="20" t="s">
        <v>31</v>
      </c>
    </row>
    <row r="10" spans="1:12" x14ac:dyDescent="0.2">
      <c r="C10" s="21" t="s">
        <v>32</v>
      </c>
      <c r="E10" s="43"/>
    </row>
    <row r="11" spans="1:12" x14ac:dyDescent="0.2">
      <c r="C11" s="21" t="s">
        <v>5</v>
      </c>
      <c r="E11" s="44"/>
    </row>
    <row r="12" spans="1:12" x14ac:dyDescent="0.2">
      <c r="C12" s="21" t="s">
        <v>33</v>
      </c>
      <c r="E12" s="45"/>
    </row>
    <row r="13" spans="1:12" ht="14.85" customHeight="1" x14ac:dyDescent="0.2">
      <c r="C13" s="21" t="s">
        <v>34</v>
      </c>
      <c r="E13" s="122" t="str">
        <f>IF(E4="Kyllä",IF(ISNUMBER(E12),E12*'Grunduppgifter old'!E44,"0"),"0")</f>
        <v>0</v>
      </c>
    </row>
    <row r="14" spans="1:12" x14ac:dyDescent="0.2">
      <c r="C14" s="21" t="s">
        <v>35</v>
      </c>
      <c r="E14" s="22">
        <f>E10-E11+E13</f>
        <v>0</v>
      </c>
    </row>
    <row r="15" spans="1:12" ht="9.9499999999999993" customHeight="1" x14ac:dyDescent="0.25">
      <c r="A15" s="19"/>
      <c r="K15"/>
      <c r="L15"/>
    </row>
    <row r="16" spans="1:12" ht="15.75" x14ac:dyDescent="0.25">
      <c r="A16" s="19"/>
      <c r="B16" s="20" t="s">
        <v>36</v>
      </c>
      <c r="C16"/>
      <c r="D16" s="20"/>
      <c r="E16" s="47"/>
      <c r="G16" s="48"/>
      <c r="H16" s="48"/>
      <c r="I16" s="48"/>
    </row>
    <row r="17" spans="1:256" ht="15.75" x14ac:dyDescent="0.25">
      <c r="A17" s="19"/>
      <c r="C17" s="21" t="s">
        <v>37</v>
      </c>
      <c r="D17" s="20"/>
      <c r="E17" s="49"/>
      <c r="G17" s="48"/>
      <c r="H17" s="48"/>
      <c r="I17" s="48"/>
    </row>
    <row r="18" spans="1:256" ht="15.75" x14ac:dyDescent="0.25">
      <c r="A18" s="19"/>
      <c r="C18" s="21" t="s">
        <v>38</v>
      </c>
      <c r="D18" s="20"/>
      <c r="E18" s="46" t="str">
        <f>IF(ISNUMBER(E17),IF(ISNUMBER(E12),IF(E12&gt;5,'Grunduppgifter old'!G50/6*E17,VLOOKUP(E12,Lapsilisat,5)/E12*E17),""),"")</f>
        <v/>
      </c>
      <c r="G18" s="48"/>
      <c r="H18" s="48"/>
      <c r="I18" s="48"/>
    </row>
    <row r="19" spans="1:256" ht="15.75" x14ac:dyDescent="0.25">
      <c r="A19" s="19"/>
      <c r="C19" s="21" t="s">
        <v>39</v>
      </c>
      <c r="D19" s="20"/>
      <c r="E19" s="43">
        <v>500</v>
      </c>
      <c r="G19" s="48"/>
      <c r="H19" s="48"/>
      <c r="I19" s="48"/>
    </row>
    <row r="20" spans="1:256" ht="15.75" x14ac:dyDescent="0.25">
      <c r="A20" s="19"/>
      <c r="C20" s="21" t="s">
        <v>40</v>
      </c>
      <c r="D20" s="20"/>
      <c r="E20" s="50">
        <v>0</v>
      </c>
      <c r="G20" s="48"/>
      <c r="H20" s="48"/>
      <c r="I20" s="48"/>
    </row>
    <row r="21" spans="1:256" ht="9.9499999999999993" customHeight="1" x14ac:dyDescent="0.25">
      <c r="A21" s="19"/>
      <c r="K21"/>
      <c r="L21"/>
    </row>
    <row r="22" spans="1:256" ht="15.75" x14ac:dyDescent="0.25">
      <c r="A22" s="19"/>
      <c r="B22" s="20" t="s">
        <v>42</v>
      </c>
      <c r="C22"/>
      <c r="D22" s="20"/>
      <c r="E22" s="47"/>
      <c r="G22" s="48">
        <v>7</v>
      </c>
      <c r="H22" s="48">
        <v>13</v>
      </c>
      <c r="I22" s="48">
        <v>18</v>
      </c>
      <c r="J22" s="23"/>
    </row>
    <row r="23" spans="1:256" ht="15.75" x14ac:dyDescent="0.25">
      <c r="A23" s="19"/>
      <c r="C23" s="21" t="s">
        <v>43</v>
      </c>
      <c r="D23" s="51">
        <f>SUM(G23:I23)</f>
        <v>1</v>
      </c>
      <c r="E23" s="46">
        <f>IF(G23&gt;0,VLOOKUP(G$22,Lasten_kustannukset,3)*G23,0)+IF(H23&gt;0,VLOOKUP(H$22,Lasten_kustannukset,3)*H23,0)+IF(I23&gt;0,VLOOKUP(I$22,Lasten_kustannukset,3)*I23,0)</f>
        <v>563</v>
      </c>
      <c r="F23" s="52"/>
      <c r="G23" s="53"/>
      <c r="H23" s="54"/>
      <c r="I23" s="55">
        <v>1</v>
      </c>
    </row>
    <row r="24" spans="1:256" ht="15.75" x14ac:dyDescent="0.25">
      <c r="A24" s="19"/>
      <c r="C24" s="21" t="s">
        <v>44</v>
      </c>
      <c r="D24" s="51">
        <f>SUM(G24:I24)</f>
        <v>0</v>
      </c>
      <c r="E24" s="46">
        <f>(IF(G24&gt;0,VLOOKUP(G$22,Lasten_kustannukset,3)*G24,0)+IF(H24&gt;0,VLOOKUP(H$22,Lasten_kustannukset,3)*H24,0)+IF(I24&gt;0,VLOOKUP(I$22,Lasten_kustannukset,3)*I24,0))*E7</f>
        <v>0</v>
      </c>
      <c r="F24" s="52"/>
      <c r="G24" s="56"/>
      <c r="H24" s="57"/>
      <c r="I24" s="58"/>
      <c r="J24" s="23"/>
    </row>
    <row r="25" spans="1:256" ht="15.75" x14ac:dyDescent="0.25">
      <c r="A25" s="19"/>
      <c r="C25" s="21" t="s">
        <v>45</v>
      </c>
      <c r="D25" s="51">
        <f>SUM(G25:I25)</f>
        <v>0</v>
      </c>
      <c r="E25" s="46">
        <f>IF(G25&gt;0,VLOOKUP(G$22,Lasten_kustannukset,3)*G25,0)+IF(H25&gt;0,VLOOKUP(H$22,Lasten_kustannukset,3)*H25,0)+IF(I25&gt;0,VLOOKUP(I$22,Lasten_kustannukset,3)*I25,0)</f>
        <v>0</v>
      </c>
      <c r="F25" s="52"/>
      <c r="G25" s="59"/>
      <c r="H25" s="60"/>
      <c r="I25" s="61"/>
    </row>
    <row r="26" spans="1:256" ht="15.75" x14ac:dyDescent="0.25">
      <c r="A26" s="19"/>
      <c r="C26" s="21" t="s">
        <v>46</v>
      </c>
      <c r="D26" s="62" t="s">
        <v>41</v>
      </c>
      <c r="E26" s="47"/>
    </row>
    <row r="27" spans="1:256" ht="15.75" x14ac:dyDescent="0.25">
      <c r="A27" s="19"/>
      <c r="C27" s="21" t="s">
        <v>47</v>
      </c>
      <c r="D27" s="51">
        <f>SUM(D23:D26)</f>
        <v>1</v>
      </c>
      <c r="E27" s="46">
        <f>SUM(E23:E26)</f>
        <v>563</v>
      </c>
    </row>
    <row r="28" spans="1:256" ht="15.75" x14ac:dyDescent="0.25">
      <c r="A28" s="19"/>
      <c r="C28" s="21" t="s">
        <v>48</v>
      </c>
      <c r="E28" s="63">
        <v>0</v>
      </c>
    </row>
    <row r="29" spans="1:256" ht="9.9499999999999993" customHeight="1" x14ac:dyDescent="0.25">
      <c r="A29" s="19"/>
      <c r="K29"/>
      <c r="L29"/>
    </row>
    <row r="30" spans="1:256" s="21" customFormat="1" x14ac:dyDescent="0.2">
      <c r="B30" s="20" t="s">
        <v>49</v>
      </c>
      <c r="H30" s="22"/>
      <c r="J30" s="13"/>
      <c r="IU30"/>
      <c r="IV30"/>
    </row>
    <row r="31" spans="1:256" x14ac:dyDescent="0.2">
      <c r="C31" s="21" t="s">
        <v>50</v>
      </c>
      <c r="E31" s="64">
        <f>SUM(E34:E41)</f>
        <v>0</v>
      </c>
      <c r="G31" s="21"/>
      <c r="H31" s="22"/>
      <c r="I31" s="21"/>
      <c r="J31" s="23"/>
      <c r="IT31" s="21"/>
    </row>
    <row r="32" spans="1:256" ht="9.9499999999999993" customHeight="1" x14ac:dyDescent="0.25">
      <c r="A32" s="19"/>
      <c r="K32"/>
      <c r="L32"/>
    </row>
    <row r="33" spans="1:256" s="65" customFormat="1" x14ac:dyDescent="0.2">
      <c r="B33" s="20"/>
      <c r="C33" s="66" t="s">
        <v>51</v>
      </c>
      <c r="D33" s="66"/>
      <c r="E33" s="66"/>
      <c r="F33" s="66"/>
      <c r="G33" s="66"/>
      <c r="H33" s="67"/>
      <c r="J33" s="23"/>
      <c r="IV33"/>
    </row>
    <row r="34" spans="1:256" x14ac:dyDescent="0.2">
      <c r="C34" s="43"/>
      <c r="E34" s="43"/>
      <c r="F34" s="51"/>
      <c r="G34" s="51"/>
      <c r="H34" s="68"/>
      <c r="I34" s="51"/>
      <c r="IT34" s="21"/>
    </row>
    <row r="35" spans="1:256" x14ac:dyDescent="0.2">
      <c r="C35" s="44"/>
      <c r="E35" s="44"/>
      <c r="G35" s="21"/>
      <c r="H35" s="22"/>
      <c r="I35" s="21"/>
      <c r="IT35" s="21"/>
    </row>
    <row r="36" spans="1:256" x14ac:dyDescent="0.2">
      <c r="C36" s="44"/>
      <c r="E36" s="44"/>
      <c r="G36" s="21"/>
      <c r="H36" s="22"/>
      <c r="I36" s="21"/>
      <c r="IT36" s="21"/>
    </row>
    <row r="37" spans="1:256" x14ac:dyDescent="0.2">
      <c r="C37" s="44"/>
      <c r="E37" s="44"/>
      <c r="G37" s="21"/>
      <c r="H37" s="22"/>
      <c r="I37" s="21"/>
      <c r="IT37" s="21"/>
    </row>
    <row r="38" spans="1:256" x14ac:dyDescent="0.2">
      <c r="C38" s="44"/>
      <c r="E38" s="44"/>
      <c r="G38" s="21"/>
      <c r="H38" s="22"/>
      <c r="I38" s="21"/>
      <c r="IT38" s="21"/>
    </row>
    <row r="39" spans="1:256" x14ac:dyDescent="0.2">
      <c r="C39" s="44"/>
      <c r="E39" s="44"/>
      <c r="G39" s="21"/>
      <c r="H39" s="22"/>
      <c r="I39" s="21"/>
      <c r="J39" s="23"/>
      <c r="IT39" s="21"/>
    </row>
    <row r="40" spans="1:256" x14ac:dyDescent="0.2">
      <c r="C40" s="44"/>
      <c r="E40" s="44"/>
      <c r="G40" s="21"/>
      <c r="H40" s="22"/>
      <c r="I40" s="21"/>
      <c r="IT40" s="21"/>
    </row>
    <row r="41" spans="1:256" x14ac:dyDescent="0.2">
      <c r="C41" s="50"/>
      <c r="E41" s="50"/>
      <c r="F41" s="51"/>
      <c r="G41" s="51"/>
      <c r="H41" s="68"/>
      <c r="I41" s="51"/>
      <c r="J41" s="23"/>
      <c r="IT41" s="21"/>
    </row>
    <row r="42" spans="1:256" ht="9.9499999999999993" customHeight="1" x14ac:dyDescent="0.25">
      <c r="A42" s="19"/>
      <c r="K42"/>
      <c r="L42"/>
    </row>
    <row r="43" spans="1:256" x14ac:dyDescent="0.2">
      <c r="B43" s="20" t="s">
        <v>52</v>
      </c>
    </row>
    <row r="44" spans="1:256" x14ac:dyDescent="0.2">
      <c r="C44" s="21" t="s">
        <v>53</v>
      </c>
      <c r="D44" s="118"/>
      <c r="E44" s="46">
        <f>E55</f>
        <v>0</v>
      </c>
    </row>
    <row r="45" spans="1:256" x14ac:dyDescent="0.2">
      <c r="C45" s="21" t="s">
        <v>54</v>
      </c>
      <c r="E45" s="22">
        <f>IF(E5="",((D27)*'Grunduppgifter old'!E40+'Grunduppgifter old'!E39)*'Grunduppgifter old'!E38,((D27+1)*'Grunduppgifter old'!E40+'Grunduppgifter old'!E39)*'Grunduppgifter old'!E38)</f>
        <v>600</v>
      </c>
    </row>
    <row r="46" spans="1:256" x14ac:dyDescent="0.2">
      <c r="C46" s="21" t="s">
        <v>55</v>
      </c>
      <c r="E46" s="22">
        <f>IF(E44=0,E45,IF(E44&gt;E45,E45,E44))</f>
        <v>600</v>
      </c>
    </row>
    <row r="47" spans="1:256" x14ac:dyDescent="0.2">
      <c r="C47" s="21" t="s">
        <v>56</v>
      </c>
      <c r="E47" s="63"/>
    </row>
    <row r="48" spans="1:256" hidden="1" x14ac:dyDescent="0.2">
      <c r="E48" s="68">
        <f>IF(ISNUMBER(E47),E47,E46)</f>
        <v>600</v>
      </c>
    </row>
    <row r="49" spans="1:12" x14ac:dyDescent="0.2">
      <c r="C49" s="21" t="s">
        <v>57</v>
      </c>
      <c r="D49" s="69"/>
      <c r="E49" s="22">
        <f>E48*E7</f>
        <v>600</v>
      </c>
    </row>
    <row r="50" spans="1:12" ht="9.9499999999999993" customHeight="1" x14ac:dyDescent="0.25">
      <c r="A50" s="19"/>
      <c r="K50"/>
      <c r="L50"/>
    </row>
    <row r="51" spans="1:12" x14ac:dyDescent="0.2">
      <c r="C51" s="21" t="s">
        <v>58</v>
      </c>
      <c r="E51" s="63"/>
    </row>
    <row r="53" spans="1:12" hidden="1" x14ac:dyDescent="0.2">
      <c r="E53" s="22" t="s">
        <v>27</v>
      </c>
    </row>
    <row r="54" spans="1:12" hidden="1" x14ac:dyDescent="0.2">
      <c r="E54" s="22" t="s">
        <v>59</v>
      </c>
    </row>
    <row r="55" spans="1:12" hidden="1" x14ac:dyDescent="0.2">
      <c r="C55" s="13" t="s">
        <v>65</v>
      </c>
      <c r="D55" s="13"/>
      <c r="E55" s="75">
        <f>SUM(E59:E74)-E56</f>
        <v>0</v>
      </c>
    </row>
    <row r="56" spans="1:12" x14ac:dyDescent="0.2">
      <c r="C56" s="13" t="s">
        <v>66</v>
      </c>
      <c r="D56" s="13"/>
      <c r="E56" s="76"/>
    </row>
    <row r="57" spans="1:12" x14ac:dyDescent="0.2">
      <c r="C57" s="13"/>
      <c r="D57" s="13"/>
      <c r="E57" s="14"/>
    </row>
    <row r="58" spans="1:12" x14ac:dyDescent="0.2">
      <c r="C58" s="78" t="s">
        <v>120</v>
      </c>
      <c r="D58" s="78"/>
      <c r="E58" s="78" t="s">
        <v>68</v>
      </c>
    </row>
    <row r="59" spans="1:12" x14ac:dyDescent="0.2">
      <c r="C59" s="80"/>
      <c r="D59" s="13"/>
      <c r="E59" s="80"/>
    </row>
    <row r="60" spans="1:12" x14ac:dyDescent="0.2">
      <c r="C60" s="83"/>
      <c r="D60" s="13"/>
      <c r="E60" s="83"/>
    </row>
    <row r="61" spans="1:12" x14ac:dyDescent="0.2">
      <c r="C61" s="83"/>
      <c r="D61" s="13"/>
      <c r="E61" s="83"/>
    </row>
    <row r="62" spans="1:12" x14ac:dyDescent="0.2">
      <c r="C62" s="83"/>
      <c r="D62" s="13"/>
      <c r="E62" s="83"/>
    </row>
    <row r="63" spans="1:12" x14ac:dyDescent="0.2">
      <c r="C63" s="83"/>
      <c r="D63" s="13"/>
      <c r="E63" s="83"/>
    </row>
    <row r="64" spans="1:12" x14ac:dyDescent="0.2">
      <c r="C64" s="83"/>
      <c r="D64" s="13"/>
      <c r="E64" s="83"/>
    </row>
    <row r="65" spans="3:5" x14ac:dyDescent="0.2">
      <c r="C65" s="83"/>
      <c r="D65" s="13"/>
      <c r="E65" s="83"/>
    </row>
    <row r="66" spans="3:5" x14ac:dyDescent="0.2">
      <c r="C66" s="83"/>
      <c r="D66" s="13"/>
      <c r="E66" s="83"/>
    </row>
    <row r="67" spans="3:5" x14ac:dyDescent="0.2">
      <c r="C67" s="83"/>
      <c r="D67" s="13"/>
      <c r="E67" s="83"/>
    </row>
    <row r="68" spans="3:5" x14ac:dyDescent="0.2">
      <c r="C68" s="83"/>
      <c r="D68" s="13"/>
      <c r="E68" s="83"/>
    </row>
    <row r="69" spans="3:5" x14ac:dyDescent="0.2">
      <c r="C69" s="83"/>
      <c r="D69" s="13"/>
      <c r="E69" s="83"/>
    </row>
    <row r="70" spans="3:5" x14ac:dyDescent="0.2">
      <c r="C70" s="83"/>
      <c r="D70" s="13"/>
      <c r="E70" s="83"/>
    </row>
    <row r="71" spans="3:5" x14ac:dyDescent="0.2">
      <c r="C71" s="83"/>
      <c r="D71" s="13"/>
      <c r="E71" s="83"/>
    </row>
    <row r="72" spans="3:5" x14ac:dyDescent="0.2">
      <c r="C72" s="83"/>
      <c r="D72" s="13"/>
      <c r="E72" s="83"/>
    </row>
    <row r="73" spans="3:5" x14ac:dyDescent="0.2">
      <c r="C73" s="83"/>
      <c r="D73" s="13"/>
      <c r="E73" s="83"/>
    </row>
    <row r="74" spans="3:5" x14ac:dyDescent="0.2">
      <c r="C74" s="84"/>
      <c r="D74" s="13"/>
      <c r="E74" s="84"/>
    </row>
  </sheetData>
  <hyperlinks>
    <hyperlink ref="E1" location="Laskelma!A1" display="laskelmaan" xr:uid="{00000000-0004-0000-0200-000000000000}"/>
  </hyperlinks>
  <pageMargins left="0.7" right="0.7" top="0.75" bottom="0.75" header="0.3" footer="0.3"/>
  <pageSetup paperSize="9"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5797B-E5F8-4BBD-AD64-C16253EFA077}">
  <sheetPr>
    <pageSetUpPr fitToPage="1"/>
  </sheetPr>
  <dimension ref="A1:IT58"/>
  <sheetViews>
    <sheetView showGridLines="0" zoomScaleNormal="100" workbookViewId="0">
      <selection activeCell="E3" sqref="E3"/>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11" width="36.140625" style="70" customWidth="1"/>
    <col min="12" max="254" width="11.5703125" style="21"/>
  </cols>
  <sheetData>
    <row r="1" spans="1:13" ht="15.75" x14ac:dyDescent="0.25">
      <c r="A1" s="19" t="s">
        <v>227</v>
      </c>
      <c r="E1" s="117" t="s">
        <v>261</v>
      </c>
      <c r="F1"/>
      <c r="G1"/>
      <c r="H1"/>
      <c r="I1" s="36" t="s">
        <v>228</v>
      </c>
      <c r="J1"/>
      <c r="K1" s="3"/>
      <c r="L1"/>
      <c r="M1" s="37"/>
    </row>
    <row r="2" spans="1:13" ht="9.9499999999999993" customHeight="1" x14ac:dyDescent="0.25">
      <c r="A2" s="19"/>
      <c r="J2" s="23"/>
      <c r="K2" s="24"/>
      <c r="L2"/>
      <c r="M2"/>
    </row>
    <row r="3" spans="1:13" ht="15.75" customHeight="1" x14ac:dyDescent="0.25">
      <c r="A3" s="19"/>
      <c r="C3" s="21" t="s">
        <v>230</v>
      </c>
      <c r="E3" s="135"/>
      <c r="J3" s="23"/>
      <c r="K3" s="24"/>
      <c r="L3"/>
      <c r="M3"/>
    </row>
    <row r="4" spans="1:13" ht="9.9499999999999993" customHeight="1" x14ac:dyDescent="0.25">
      <c r="A4" s="19"/>
      <c r="J4" s="23"/>
      <c r="K4" s="24"/>
      <c r="L4"/>
      <c r="M4"/>
    </row>
    <row r="5" spans="1:13" ht="15.75" x14ac:dyDescent="0.25">
      <c r="A5" s="19"/>
      <c r="B5" s="20" t="s">
        <v>231</v>
      </c>
    </row>
    <row r="6" spans="1:13" ht="15.75" x14ac:dyDescent="0.25">
      <c r="A6" s="19"/>
      <c r="C6" s="21" t="s">
        <v>232</v>
      </c>
      <c r="E6" s="38" t="s">
        <v>258</v>
      </c>
      <c r="J6" s="23"/>
      <c r="K6" s="24"/>
    </row>
    <row r="7" spans="1:13" ht="15.75" x14ac:dyDescent="0.25">
      <c r="A7" s="19"/>
      <c r="C7" s="21" t="s">
        <v>233</v>
      </c>
      <c r="E7" s="39">
        <f>IF(LEFT(E6,1)="N",0.5,"")</f>
        <v>0.5</v>
      </c>
      <c r="L7" s="27"/>
      <c r="M7" s="27"/>
    </row>
    <row r="8" spans="1:13" ht="15.75" x14ac:dyDescent="0.25">
      <c r="A8" s="19"/>
      <c r="C8" s="40" t="s">
        <v>234</v>
      </c>
      <c r="E8" s="41"/>
      <c r="K8" s="3"/>
      <c r="L8" s="27"/>
      <c r="M8" s="27"/>
    </row>
    <row r="9" spans="1:13" ht="15.75" hidden="1" x14ac:dyDescent="0.25">
      <c r="A9" s="19"/>
      <c r="E9" s="42">
        <f>IF(E7&lt;&gt;"",IF(ISNUMBER(E8),E8,E7),1)</f>
        <v>0.5</v>
      </c>
    </row>
    <row r="10" spans="1:13" ht="9.9499999999999993" customHeight="1" x14ac:dyDescent="0.25">
      <c r="A10" s="19"/>
      <c r="J10" s="23"/>
      <c r="K10" s="24"/>
      <c r="L10"/>
      <c r="M10"/>
    </row>
    <row r="11" spans="1:13" x14ac:dyDescent="0.2">
      <c r="B11" s="20" t="s">
        <v>239</v>
      </c>
    </row>
    <row r="12" spans="1:13" x14ac:dyDescent="0.2">
      <c r="C12" s="21" t="s">
        <v>235</v>
      </c>
      <c r="E12" s="43"/>
    </row>
    <row r="13" spans="1:13" x14ac:dyDescent="0.2">
      <c r="C13" s="21" t="s">
        <v>236</v>
      </c>
      <c r="E13" s="44"/>
    </row>
    <row r="14" spans="1:13" x14ac:dyDescent="0.2">
      <c r="C14" s="21" t="s">
        <v>237</v>
      </c>
      <c r="E14" s="147"/>
    </row>
    <row r="15" spans="1:13" x14ac:dyDescent="0.2">
      <c r="C15" s="21" t="s">
        <v>238</v>
      </c>
      <c r="E15" s="45"/>
    </row>
    <row r="16" spans="1:13" x14ac:dyDescent="0.2">
      <c r="C16" s="21" t="s">
        <v>240</v>
      </c>
      <c r="E16" s="46">
        <f>IF(E6="Ja",IF(ISNUMBER(E14),E14*Grunduppgifter!E44,0),0)</f>
        <v>0</v>
      </c>
    </row>
    <row r="17" spans="1:13" x14ac:dyDescent="0.2">
      <c r="C17" s="21" t="s">
        <v>259</v>
      </c>
      <c r="E17" s="22">
        <f>E12-E13+E16</f>
        <v>0</v>
      </c>
    </row>
    <row r="18" spans="1:13" ht="9.9499999999999993" customHeight="1" x14ac:dyDescent="0.25">
      <c r="A18" s="19"/>
      <c r="L18"/>
      <c r="M18"/>
    </row>
    <row r="19" spans="1:13" ht="15.75" x14ac:dyDescent="0.25">
      <c r="A19" s="19"/>
      <c r="B19" s="20" t="s">
        <v>257</v>
      </c>
      <c r="C19"/>
      <c r="D19"/>
      <c r="E19" s="20"/>
      <c r="G19" s="48">
        <v>7</v>
      </c>
      <c r="H19" s="48">
        <v>13</v>
      </c>
      <c r="I19" s="48">
        <v>18</v>
      </c>
    </row>
    <row r="20" spans="1:13" ht="15.75" x14ac:dyDescent="0.25">
      <c r="A20" s="19"/>
      <c r="C20" s="21" t="s">
        <v>256</v>
      </c>
      <c r="D20" s="51">
        <f>SUM(G20:I20)</f>
        <v>0</v>
      </c>
      <c r="E20" s="46">
        <f>(IF(G20&gt;0,VLOOKUP(G$19,Lasten_kustannukset,3)*G20,0)+IF(H20&gt;0,VLOOKUP(H$19,Lasten_kustannukset,3)*H20,0)+IF(I20&gt;0,VLOOKUP(I$19,Lasten_kustannukset,3)*I20,0))*E9</f>
        <v>0</v>
      </c>
      <c r="F20" s="52"/>
      <c r="G20" s="53"/>
      <c r="H20" s="54"/>
      <c r="I20" s="55"/>
      <c r="J20" s="23"/>
      <c r="K20" s="24"/>
    </row>
    <row r="21" spans="1:13" ht="15.75" x14ac:dyDescent="0.25">
      <c r="A21" s="19"/>
      <c r="C21" s="21" t="s">
        <v>255</v>
      </c>
      <c r="D21" s="51">
        <f>SUM(G21:I21)</f>
        <v>0</v>
      </c>
      <c r="E21" s="46">
        <f>IF(G21&gt;0,VLOOKUP(G$19,Lasten_kustannukset,3)*G21,0)+IF(H21&gt;0,VLOOKUP(H$19,Lasten_kustannukset,3)*H21,0)+IF(I21&gt;0,VLOOKUP(I$19,Lasten_kustannukset,3)*I21,0)</f>
        <v>0</v>
      </c>
      <c r="F21" s="52"/>
      <c r="G21" s="59"/>
      <c r="H21" s="60"/>
      <c r="I21" s="61"/>
    </row>
    <row r="22" spans="1:13" ht="15.75" x14ac:dyDescent="0.25">
      <c r="A22" s="19"/>
      <c r="C22" s="21" t="s">
        <v>254</v>
      </c>
      <c r="D22" s="51"/>
      <c r="E22" s="63"/>
      <c r="F22" s="52"/>
      <c r="G22" s="57"/>
      <c r="H22" s="57"/>
      <c r="I22" s="57"/>
    </row>
    <row r="23" spans="1:13" ht="15.75" x14ac:dyDescent="0.25">
      <c r="A23" s="19"/>
      <c r="C23" s="21" t="s">
        <v>253</v>
      </c>
      <c r="D23" s="62"/>
      <c r="E23" s="47"/>
    </row>
    <row r="24" spans="1:13" ht="15.75" x14ac:dyDescent="0.25">
      <c r="A24" s="19"/>
      <c r="C24" s="21" t="s">
        <v>252</v>
      </c>
      <c r="D24" s="51">
        <f>SUM(D20:D23)</f>
        <v>0</v>
      </c>
      <c r="E24" s="46">
        <f>SUM(E20:E21)-E22</f>
        <v>0</v>
      </c>
    </row>
    <row r="25" spans="1:13" ht="15.75" x14ac:dyDescent="0.25">
      <c r="A25" s="19"/>
      <c r="C25" s="21" t="s">
        <v>251</v>
      </c>
      <c r="E25" s="63"/>
      <c r="J25" s="23"/>
      <c r="K25" s="24"/>
    </row>
    <row r="26" spans="1:13" ht="9.9499999999999993" customHeight="1" x14ac:dyDescent="0.25">
      <c r="A26" s="19"/>
      <c r="L26"/>
      <c r="M26"/>
    </row>
    <row r="27" spans="1:13" x14ac:dyDescent="0.2">
      <c r="B27" s="20" t="s">
        <v>250</v>
      </c>
      <c r="J27" s="23"/>
      <c r="K27" s="24"/>
    </row>
    <row r="28" spans="1:13" x14ac:dyDescent="0.2">
      <c r="C28" s="21" t="s">
        <v>248</v>
      </c>
      <c r="D28" s="118"/>
      <c r="E28" s="46">
        <f>SUM(E43:E58)-E40</f>
        <v>0</v>
      </c>
    </row>
    <row r="29" spans="1:13" x14ac:dyDescent="0.2">
      <c r="C29" s="21" t="s">
        <v>249</v>
      </c>
      <c r="E29" s="22">
        <f>IF(E7="",((D24+Underhållstagar!D5)*'Grunduppgifter old'!E40+Grunduppgifter!E39)*Grunduppgifter!E38,((D24+Underhållstagar!D5+1)*Grunduppgifter!E40+Grunduppgifter!E39)*Grunduppgifter!E38)</f>
        <v>600</v>
      </c>
      <c r="J29" s="23"/>
      <c r="K29" s="24"/>
    </row>
    <row r="30" spans="1:13" x14ac:dyDescent="0.2">
      <c r="C30" s="21" t="s">
        <v>247</v>
      </c>
      <c r="E30" s="22">
        <f>IF(E28=0,E29,IF(E28&gt;E29,E29,E28))</f>
        <v>600</v>
      </c>
    </row>
    <row r="31" spans="1:13" x14ac:dyDescent="0.2">
      <c r="C31" s="21" t="s">
        <v>246</v>
      </c>
      <c r="E31" s="63"/>
    </row>
    <row r="32" spans="1:13" hidden="1" x14ac:dyDescent="0.2">
      <c r="E32" s="68">
        <f>IF(ISNUMBER(E31),E31,E30)</f>
        <v>600</v>
      </c>
    </row>
    <row r="33" spans="1:13" x14ac:dyDescent="0.2">
      <c r="C33" s="21" t="s">
        <v>245</v>
      </c>
      <c r="D33" s="69"/>
      <c r="E33" s="22">
        <f>E32*E9</f>
        <v>300</v>
      </c>
    </row>
    <row r="34" spans="1:13" ht="9.9499999999999993" customHeight="1" x14ac:dyDescent="0.25">
      <c r="A34" s="19"/>
      <c r="L34"/>
      <c r="M34"/>
    </row>
    <row r="35" spans="1:13" x14ac:dyDescent="0.2">
      <c r="C35" s="21" t="s">
        <v>244</v>
      </c>
      <c r="E35" s="62"/>
      <c r="J35" s="23"/>
      <c r="K35" s="24"/>
    </row>
    <row r="36" spans="1:13" x14ac:dyDescent="0.2">
      <c r="J36" s="23"/>
      <c r="K36" s="24"/>
    </row>
    <row r="37" spans="1:13" hidden="1" x14ac:dyDescent="0.2">
      <c r="E37" s="71" t="s">
        <v>27</v>
      </c>
    </row>
    <row r="38" spans="1:13" hidden="1" x14ac:dyDescent="0.2">
      <c r="E38" s="71" t="s">
        <v>59</v>
      </c>
    </row>
    <row r="39" spans="1:13" hidden="1" x14ac:dyDescent="0.2">
      <c r="C39" s="13" t="s">
        <v>65</v>
      </c>
      <c r="D39" s="13"/>
      <c r="E39" s="75">
        <f>SUM(E43:E58)-E40</f>
        <v>0</v>
      </c>
    </row>
    <row r="40" spans="1:13" x14ac:dyDescent="0.2">
      <c r="C40" s="13" t="s">
        <v>241</v>
      </c>
      <c r="D40" s="13"/>
      <c r="E40" s="76"/>
    </row>
    <row r="41" spans="1:13" x14ac:dyDescent="0.2">
      <c r="C41" s="13"/>
      <c r="D41" s="13"/>
      <c r="E41" s="14"/>
    </row>
    <row r="42" spans="1:13" x14ac:dyDescent="0.2">
      <c r="C42" s="78" t="s">
        <v>242</v>
      </c>
      <c r="D42" s="78"/>
      <c r="E42" s="78" t="s">
        <v>243</v>
      </c>
    </row>
    <row r="43" spans="1:13" x14ac:dyDescent="0.2">
      <c r="C43" s="80"/>
      <c r="D43" s="13"/>
      <c r="E43" s="80"/>
    </row>
    <row r="44" spans="1:13" x14ac:dyDescent="0.2">
      <c r="C44" s="83"/>
      <c r="D44" s="13"/>
      <c r="E44" s="83"/>
    </row>
    <row r="45" spans="1:13" x14ac:dyDescent="0.2">
      <c r="C45" s="83"/>
      <c r="D45" s="13"/>
      <c r="E45" s="83"/>
    </row>
    <row r="46" spans="1:13" x14ac:dyDescent="0.2">
      <c r="C46" s="83"/>
      <c r="D46" s="13"/>
      <c r="E46" s="83"/>
    </row>
    <row r="47" spans="1:13" x14ac:dyDescent="0.2">
      <c r="C47" s="83"/>
      <c r="D47" s="13"/>
      <c r="E47" s="83"/>
    </row>
    <row r="48" spans="1:13" x14ac:dyDescent="0.2">
      <c r="C48" s="83"/>
      <c r="D48" s="13"/>
      <c r="E48" s="83"/>
    </row>
    <row r="49" spans="3:5" x14ac:dyDescent="0.2">
      <c r="C49" s="83"/>
      <c r="D49" s="13"/>
      <c r="E49" s="83"/>
    </row>
    <row r="50" spans="3:5" x14ac:dyDescent="0.2">
      <c r="C50" s="83"/>
      <c r="D50" s="13"/>
      <c r="E50" s="83"/>
    </row>
    <row r="51" spans="3:5" x14ac:dyDescent="0.2">
      <c r="C51" s="83"/>
      <c r="D51" s="13"/>
      <c r="E51" s="83"/>
    </row>
    <row r="52" spans="3:5" x14ac:dyDescent="0.2">
      <c r="C52" s="83"/>
      <c r="D52" s="13"/>
      <c r="E52" s="83"/>
    </row>
    <row r="53" spans="3:5" x14ac:dyDescent="0.2">
      <c r="C53" s="83"/>
      <c r="D53" s="13"/>
      <c r="E53" s="83"/>
    </row>
    <row r="54" spans="3:5" x14ac:dyDescent="0.2">
      <c r="C54" s="83"/>
      <c r="D54" s="13"/>
      <c r="E54" s="83"/>
    </row>
    <row r="55" spans="3:5" x14ac:dyDescent="0.2">
      <c r="C55" s="83"/>
      <c r="D55" s="13"/>
      <c r="E55" s="83"/>
    </row>
    <row r="56" spans="3:5" x14ac:dyDescent="0.2">
      <c r="C56" s="83"/>
      <c r="D56" s="13"/>
      <c r="E56" s="83"/>
    </row>
    <row r="57" spans="3:5" x14ac:dyDescent="0.2">
      <c r="C57" s="83"/>
      <c r="D57" s="13"/>
      <c r="E57" s="83"/>
    </row>
    <row r="58" spans="3:5" x14ac:dyDescent="0.2">
      <c r="C58" s="84"/>
      <c r="D58" s="13"/>
      <c r="E58" s="84"/>
    </row>
  </sheetData>
  <sheetProtection sheet="1" objects="1" scenarios="1"/>
  <hyperlinks>
    <hyperlink ref="E1" location="Sammandrag!A1" display="Sammandrag ..." xr:uid="{B7B2A2CA-E10F-4E79-964E-1EFB1B6CC038}"/>
  </hyperlinks>
  <pageMargins left="0.7" right="0.7" top="0.75" bottom="0.75" header="0.3" footer="0.3"/>
  <pageSetup paperSize="9" scale="97"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T58"/>
  <sheetViews>
    <sheetView showGridLines="0" zoomScaleNormal="100" workbookViewId="0">
      <selection activeCell="E3" sqref="E3"/>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11" width="36.140625" style="70" customWidth="1"/>
    <col min="12" max="254" width="11.5703125" style="21"/>
  </cols>
  <sheetData>
    <row r="1" spans="1:13" ht="15.75" x14ac:dyDescent="0.25">
      <c r="A1" s="19" t="s">
        <v>124</v>
      </c>
      <c r="E1" s="117" t="s">
        <v>261</v>
      </c>
      <c r="F1"/>
      <c r="G1"/>
      <c r="H1"/>
      <c r="I1" s="36" t="s">
        <v>62</v>
      </c>
      <c r="J1"/>
      <c r="K1" s="3"/>
      <c r="L1"/>
      <c r="M1" s="37"/>
    </row>
    <row r="2" spans="1:13" ht="9.9499999999999993" customHeight="1" x14ac:dyDescent="0.25">
      <c r="A2" s="19"/>
      <c r="E2" s="117"/>
      <c r="F2"/>
      <c r="G2"/>
      <c r="H2"/>
      <c r="I2" s="36"/>
      <c r="J2"/>
      <c r="K2" s="3"/>
      <c r="L2"/>
      <c r="M2" s="37"/>
    </row>
    <row r="3" spans="1:13" ht="15.75" customHeight="1" x14ac:dyDescent="0.25">
      <c r="A3" s="19"/>
      <c r="C3" s="21" t="s">
        <v>230</v>
      </c>
      <c r="E3" s="135"/>
      <c r="J3" s="23"/>
      <c r="K3" s="24"/>
      <c r="L3"/>
      <c r="M3"/>
    </row>
    <row r="4" spans="1:13" ht="9.9499999999999993" customHeight="1" x14ac:dyDescent="0.25">
      <c r="A4" s="19"/>
      <c r="J4" s="23"/>
      <c r="K4" s="24"/>
      <c r="L4"/>
      <c r="M4"/>
    </row>
    <row r="5" spans="1:13" ht="15.75" x14ac:dyDescent="0.25">
      <c r="A5" s="19"/>
      <c r="B5" s="20" t="s">
        <v>231</v>
      </c>
    </row>
    <row r="6" spans="1:13" ht="15.75" x14ac:dyDescent="0.25">
      <c r="A6" s="19"/>
      <c r="C6" s="21" t="s">
        <v>232</v>
      </c>
      <c r="E6" s="143"/>
      <c r="J6" s="23"/>
      <c r="K6" s="24"/>
    </row>
    <row r="7" spans="1:13" ht="15.75" x14ac:dyDescent="0.25">
      <c r="A7" s="19"/>
      <c r="C7" s="21" t="s">
        <v>233</v>
      </c>
      <c r="E7" s="39" t="str">
        <f>IF(LEFT(E6,1)="N",0.5,"")</f>
        <v/>
      </c>
      <c r="L7" s="27"/>
      <c r="M7" s="27"/>
    </row>
    <row r="8" spans="1:13" ht="15.75" x14ac:dyDescent="0.25">
      <c r="A8" s="19"/>
      <c r="C8" s="40" t="s">
        <v>234</v>
      </c>
      <c r="E8" s="41"/>
      <c r="K8" s="3"/>
      <c r="L8" s="27"/>
      <c r="M8" s="27"/>
    </row>
    <row r="9" spans="1:13" ht="15.75" hidden="1" x14ac:dyDescent="0.25">
      <c r="A9" s="19"/>
      <c r="E9" s="42">
        <f>IF(E7&lt;&gt;"",IF(ISNUMBER(E8),E8,E7),1)</f>
        <v>1</v>
      </c>
    </row>
    <row r="10" spans="1:13" ht="9.9499999999999993" customHeight="1" x14ac:dyDescent="0.25">
      <c r="A10" s="19"/>
      <c r="J10" s="23"/>
      <c r="K10" s="24"/>
      <c r="L10"/>
      <c r="M10"/>
    </row>
    <row r="11" spans="1:13" x14ac:dyDescent="0.2">
      <c r="B11" s="20" t="s">
        <v>239</v>
      </c>
    </row>
    <row r="12" spans="1:13" x14ac:dyDescent="0.2">
      <c r="C12" s="21" t="s">
        <v>235</v>
      </c>
      <c r="E12" s="43"/>
    </row>
    <row r="13" spans="1:13" x14ac:dyDescent="0.2">
      <c r="C13" s="21" t="s">
        <v>236</v>
      </c>
      <c r="E13" s="44"/>
    </row>
    <row r="14" spans="1:13" x14ac:dyDescent="0.2">
      <c r="C14" s="21" t="s">
        <v>237</v>
      </c>
      <c r="E14" s="147"/>
    </row>
    <row r="15" spans="1:13" x14ac:dyDescent="0.2">
      <c r="C15" s="21" t="s">
        <v>238</v>
      </c>
      <c r="E15" s="45"/>
    </row>
    <row r="16" spans="1:13" x14ac:dyDescent="0.2">
      <c r="C16" s="21" t="s">
        <v>240</v>
      </c>
      <c r="E16" s="46">
        <f>IF(E6="Ja",IF(ISNUMBER(E14),E14*Grunduppgifter!E44,0),0)</f>
        <v>0</v>
      </c>
    </row>
    <row r="17" spans="1:13" x14ac:dyDescent="0.2">
      <c r="C17" s="21" t="s">
        <v>259</v>
      </c>
      <c r="E17" s="22">
        <f>E12-E13+E16</f>
        <v>0</v>
      </c>
    </row>
    <row r="18" spans="1:13" ht="9.9499999999999993" customHeight="1" x14ac:dyDescent="0.25">
      <c r="A18" s="19"/>
      <c r="L18"/>
      <c r="M18"/>
    </row>
    <row r="19" spans="1:13" ht="15.75" x14ac:dyDescent="0.25">
      <c r="A19" s="19"/>
      <c r="B19" s="20" t="s">
        <v>257</v>
      </c>
      <c r="C19"/>
      <c r="D19"/>
      <c r="E19" s="20"/>
      <c r="G19" s="48">
        <v>7</v>
      </c>
      <c r="H19" s="48">
        <v>13</v>
      </c>
      <c r="I19" s="48">
        <v>18</v>
      </c>
    </row>
    <row r="20" spans="1:13" ht="15.75" x14ac:dyDescent="0.25">
      <c r="A20" s="19"/>
      <c r="C20" s="21" t="s">
        <v>256</v>
      </c>
      <c r="D20" s="51">
        <f>SUM(G20:I20)</f>
        <v>0</v>
      </c>
      <c r="E20" s="46">
        <f>(IF(G20&gt;0,VLOOKUP(G$19,Lasten_kustannukset,3)*G20,0)+IF(H20&gt;0,VLOOKUP(H$19,Lasten_kustannukset,3)*H20,0)+IF(I20&gt;0,VLOOKUP(I$19,Lasten_kustannukset,3)*I20,0))*E9</f>
        <v>0</v>
      </c>
      <c r="F20" s="52"/>
      <c r="G20" s="53"/>
      <c r="H20" s="54"/>
      <c r="I20" s="55"/>
      <c r="J20" s="23"/>
      <c r="K20" s="24"/>
    </row>
    <row r="21" spans="1:13" ht="15.75" x14ac:dyDescent="0.25">
      <c r="A21" s="19"/>
      <c r="C21" s="21" t="s">
        <v>255</v>
      </c>
      <c r="D21" s="51">
        <f>SUM(G21:I21)</f>
        <v>0</v>
      </c>
      <c r="E21" s="46">
        <f>IF(G21&gt;0,VLOOKUP(G$19,Lasten_kustannukset,3)*G21,0)+IF(H21&gt;0,VLOOKUP(H$19,Lasten_kustannukset,3)*H21,0)+IF(I21&gt;0,VLOOKUP(I$19,Lasten_kustannukset,3)*I21,0)</f>
        <v>0</v>
      </c>
      <c r="F21" s="52"/>
      <c r="G21" s="59"/>
      <c r="H21" s="60"/>
      <c r="I21" s="61"/>
    </row>
    <row r="22" spans="1:13" ht="15.75" x14ac:dyDescent="0.25">
      <c r="A22" s="19"/>
      <c r="C22" s="21" t="s">
        <v>254</v>
      </c>
      <c r="D22" s="51"/>
      <c r="E22" s="63"/>
      <c r="F22" s="52"/>
      <c r="G22" s="57"/>
      <c r="H22" s="57"/>
      <c r="I22" s="57"/>
    </row>
    <row r="23" spans="1:13" ht="15.75" x14ac:dyDescent="0.25">
      <c r="A23" s="19"/>
      <c r="C23" s="21" t="s">
        <v>253</v>
      </c>
      <c r="D23" s="62"/>
      <c r="E23" s="47"/>
    </row>
    <row r="24" spans="1:13" ht="15.75" x14ac:dyDescent="0.25">
      <c r="A24" s="19"/>
      <c r="C24" s="21" t="s">
        <v>252</v>
      </c>
      <c r="D24" s="51">
        <f>SUM(D20:D23)</f>
        <v>0</v>
      </c>
      <c r="E24" s="46">
        <f>SUM(E20:E21)-E22</f>
        <v>0</v>
      </c>
    </row>
    <row r="25" spans="1:13" ht="15.75" x14ac:dyDescent="0.25">
      <c r="A25" s="19"/>
      <c r="C25" s="21" t="s">
        <v>251</v>
      </c>
      <c r="E25" s="63"/>
      <c r="J25" s="23"/>
      <c r="K25" s="24"/>
    </row>
    <row r="26" spans="1:13" ht="9.9499999999999993" customHeight="1" x14ac:dyDescent="0.25">
      <c r="A26" s="19"/>
      <c r="L26"/>
      <c r="M26"/>
    </row>
    <row r="27" spans="1:13" x14ac:dyDescent="0.2">
      <c r="B27" s="20" t="s">
        <v>250</v>
      </c>
      <c r="J27" s="23"/>
      <c r="K27" s="24"/>
    </row>
    <row r="28" spans="1:13" x14ac:dyDescent="0.2">
      <c r="C28" s="21" t="s">
        <v>248</v>
      </c>
      <c r="D28" s="118"/>
      <c r="E28" s="46">
        <f>SUM(E43:E58)-E40</f>
        <v>0</v>
      </c>
    </row>
    <row r="29" spans="1:13" x14ac:dyDescent="0.2">
      <c r="C29" s="21" t="s">
        <v>249</v>
      </c>
      <c r="E29" s="22">
        <f>IF(E7="",((D24+Underhållstagar!D5)*'Grunduppgifter old'!E40+Grunduppgifter!E39)*Grunduppgifter!E38,((D24+Underhållstagar!D5+1)*Grunduppgifter!E40+Grunduppgifter!E39)*Grunduppgifter!E38)</f>
        <v>400</v>
      </c>
      <c r="J29" s="23"/>
      <c r="K29" s="24"/>
    </row>
    <row r="30" spans="1:13" x14ac:dyDescent="0.2">
      <c r="C30" s="21" t="s">
        <v>247</v>
      </c>
      <c r="E30" s="22">
        <f>IF(E28=0,E29,IF(E28&gt;E29,E29,E28))</f>
        <v>400</v>
      </c>
    </row>
    <row r="31" spans="1:13" x14ac:dyDescent="0.2">
      <c r="C31" s="21" t="s">
        <v>246</v>
      </c>
      <c r="E31" s="63"/>
    </row>
    <row r="32" spans="1:13" hidden="1" x14ac:dyDescent="0.2">
      <c r="E32" s="68">
        <f>IF(ISNUMBER(E31),E31,E30)</f>
        <v>400</v>
      </c>
    </row>
    <row r="33" spans="1:13" x14ac:dyDescent="0.2">
      <c r="C33" s="21" t="s">
        <v>245</v>
      </c>
      <c r="D33" s="69"/>
      <c r="E33" s="22">
        <f>E32*E9</f>
        <v>400</v>
      </c>
    </row>
    <row r="34" spans="1:13" ht="9.9499999999999993" customHeight="1" x14ac:dyDescent="0.25">
      <c r="A34" s="19"/>
      <c r="L34"/>
      <c r="M34"/>
    </row>
    <row r="35" spans="1:13" x14ac:dyDescent="0.2">
      <c r="C35" s="21" t="s">
        <v>244</v>
      </c>
      <c r="E35" s="62"/>
      <c r="J35" s="23"/>
      <c r="K35" s="24"/>
    </row>
    <row r="36" spans="1:13" x14ac:dyDescent="0.2">
      <c r="J36" s="23"/>
      <c r="K36" s="24"/>
    </row>
    <row r="37" spans="1:13" hidden="1" x14ac:dyDescent="0.2">
      <c r="E37" s="71" t="s">
        <v>27</v>
      </c>
    </row>
    <row r="38" spans="1:13" hidden="1" x14ac:dyDescent="0.2">
      <c r="E38" s="71" t="s">
        <v>59</v>
      </c>
    </row>
    <row r="39" spans="1:13" hidden="1" x14ac:dyDescent="0.2">
      <c r="C39" s="13" t="s">
        <v>65</v>
      </c>
      <c r="D39" s="13"/>
      <c r="E39" s="75">
        <f>SUM(E43:E58)-E40</f>
        <v>0</v>
      </c>
    </row>
    <row r="40" spans="1:13" x14ac:dyDescent="0.2">
      <c r="C40" s="13" t="s">
        <v>241</v>
      </c>
      <c r="D40" s="13"/>
      <c r="E40" s="76"/>
    </row>
    <row r="41" spans="1:13" x14ac:dyDescent="0.2">
      <c r="C41" s="13"/>
      <c r="D41" s="13"/>
      <c r="E41" s="14"/>
    </row>
    <row r="42" spans="1:13" x14ac:dyDescent="0.2">
      <c r="C42" s="78" t="s">
        <v>242</v>
      </c>
      <c r="D42" s="78"/>
      <c r="E42" s="78" t="s">
        <v>243</v>
      </c>
    </row>
    <row r="43" spans="1:13" x14ac:dyDescent="0.2">
      <c r="C43" s="80"/>
      <c r="D43" s="13"/>
      <c r="E43" s="80"/>
    </row>
    <row r="44" spans="1:13" x14ac:dyDescent="0.2">
      <c r="C44" s="83"/>
      <c r="D44" s="13"/>
      <c r="E44" s="83"/>
    </row>
    <row r="45" spans="1:13" x14ac:dyDescent="0.2">
      <c r="C45" s="83"/>
      <c r="D45" s="13"/>
      <c r="E45" s="83"/>
    </row>
    <row r="46" spans="1:13" x14ac:dyDescent="0.2">
      <c r="C46" s="83"/>
      <c r="D46" s="13"/>
      <c r="E46" s="83"/>
    </row>
    <row r="47" spans="1:13" x14ac:dyDescent="0.2">
      <c r="C47" s="83"/>
      <c r="D47" s="13"/>
      <c r="E47" s="83"/>
    </row>
    <row r="48" spans="1:13" x14ac:dyDescent="0.2">
      <c r="C48" s="83"/>
      <c r="D48" s="13"/>
      <c r="E48" s="83"/>
    </row>
    <row r="49" spans="3:5" x14ac:dyDescent="0.2">
      <c r="C49" s="83"/>
      <c r="D49" s="13"/>
      <c r="E49" s="83"/>
    </row>
    <row r="50" spans="3:5" x14ac:dyDescent="0.2">
      <c r="C50" s="83"/>
      <c r="D50" s="13"/>
      <c r="E50" s="83"/>
    </row>
    <row r="51" spans="3:5" x14ac:dyDescent="0.2">
      <c r="C51" s="83"/>
      <c r="D51" s="13"/>
      <c r="E51" s="83"/>
    </row>
    <row r="52" spans="3:5" x14ac:dyDescent="0.2">
      <c r="C52" s="83"/>
      <c r="D52" s="13"/>
      <c r="E52" s="83"/>
    </row>
    <row r="53" spans="3:5" x14ac:dyDescent="0.2">
      <c r="C53" s="83"/>
      <c r="D53" s="13"/>
      <c r="E53" s="83"/>
    </row>
    <row r="54" spans="3:5" x14ac:dyDescent="0.2">
      <c r="C54" s="83"/>
      <c r="D54" s="13"/>
      <c r="E54" s="83"/>
    </row>
    <row r="55" spans="3:5" x14ac:dyDescent="0.2">
      <c r="C55" s="83"/>
      <c r="D55" s="13"/>
      <c r="E55" s="83"/>
    </row>
    <row r="56" spans="3:5" x14ac:dyDescent="0.2">
      <c r="C56" s="83"/>
      <c r="D56" s="13"/>
      <c r="E56" s="83"/>
    </row>
    <row r="57" spans="3:5" x14ac:dyDescent="0.2">
      <c r="C57" s="83"/>
      <c r="D57" s="13"/>
      <c r="E57" s="83"/>
    </row>
    <row r="58" spans="3:5" x14ac:dyDescent="0.2">
      <c r="C58" s="84"/>
      <c r="D58" s="13"/>
      <c r="E58" s="84"/>
    </row>
  </sheetData>
  <sheetProtection sheet="1" objects="1" scenarios="1"/>
  <hyperlinks>
    <hyperlink ref="E1" location="Sammandrag!A1" display="Sammandrag ..." xr:uid="{00000000-0004-0000-0300-000000000000}"/>
  </hyperlinks>
  <pageMargins left="0.7" right="0.7" top="0.75" bottom="0.75" header="0.3" footer="0.3"/>
  <pageSetup paperSize="9" scale="97" firstPageNumber="0"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7"/>
  <sheetViews>
    <sheetView showGridLines="0" zoomScaleNormal="100" workbookViewId="0">
      <selection activeCell="C4" sqref="C4:E24"/>
    </sheetView>
  </sheetViews>
  <sheetFormatPr defaultColWidth="11.5703125" defaultRowHeight="15" x14ac:dyDescent="0.2"/>
  <cols>
    <col min="1" max="1" width="2.42578125" style="13" customWidth="1"/>
    <col min="2" max="2" width="4.7109375" style="25" customWidth="1"/>
    <col min="3" max="3" width="40.42578125" style="13" customWidth="1"/>
    <col min="4" max="4" width="5.85546875" style="13" customWidth="1"/>
    <col min="5" max="5" width="15.28515625" style="14" customWidth="1"/>
    <col min="6" max="6" width="2.7109375" style="13" customWidth="1"/>
    <col min="7" max="8" width="5.140625" style="72" customWidth="1"/>
    <col min="9" max="9" width="11.5703125" style="13"/>
    <col min="10" max="10" width="36.140625" style="70" customWidth="1"/>
    <col min="11" max="253" width="11.5703125" style="13"/>
    <col min="254" max="16384" width="11.5703125" style="73"/>
  </cols>
  <sheetData>
    <row r="1" spans="1:256" ht="15.75" x14ac:dyDescent="0.25">
      <c r="A1" s="16" t="s">
        <v>61</v>
      </c>
      <c r="F1" s="73"/>
      <c r="G1" s="73"/>
      <c r="H1" s="17" t="s">
        <v>62</v>
      </c>
      <c r="I1" s="73"/>
      <c r="J1" s="6"/>
      <c r="K1" s="6"/>
      <c r="L1" s="74"/>
    </row>
    <row r="2" spans="1:256" ht="9.9499999999999993" customHeight="1" x14ac:dyDescent="0.25">
      <c r="A2" s="16"/>
      <c r="I2" s="73"/>
      <c r="J2" s="15"/>
      <c r="K2" s="73"/>
      <c r="L2" s="73"/>
    </row>
    <row r="3" spans="1:256" x14ac:dyDescent="0.2">
      <c r="B3" s="25" t="s">
        <v>63</v>
      </c>
      <c r="E3" s="13"/>
      <c r="G3" s="13"/>
      <c r="H3" s="14"/>
      <c r="IT3" s="13"/>
    </row>
    <row r="4" spans="1:256" x14ac:dyDescent="0.2">
      <c r="B4" s="119" t="s">
        <v>64</v>
      </c>
      <c r="C4" s="13" t="s">
        <v>65</v>
      </c>
      <c r="E4" s="75">
        <f>SUM(E9:E24)-E6</f>
        <v>0</v>
      </c>
      <c r="G4" s="13"/>
      <c r="H4" s="14"/>
      <c r="J4" s="15"/>
      <c r="IT4" s="13"/>
    </row>
    <row r="5" spans="1:256" ht="9.9499999999999993" customHeight="1" x14ac:dyDescent="0.25">
      <c r="A5" s="16"/>
      <c r="I5" s="73"/>
      <c r="K5" s="73"/>
      <c r="L5" s="73"/>
    </row>
    <row r="6" spans="1:256" s="13" customFormat="1" ht="15.75" x14ac:dyDescent="0.25">
      <c r="B6" s="25"/>
      <c r="C6" s="13" t="s">
        <v>66</v>
      </c>
      <c r="E6" s="76"/>
      <c r="F6" s="16"/>
      <c r="G6" s="16"/>
      <c r="H6" s="14"/>
      <c r="J6" s="70"/>
    </row>
    <row r="7" spans="1:256" ht="9.9499999999999993" customHeight="1" x14ac:dyDescent="0.25">
      <c r="A7" s="16"/>
      <c r="I7" s="73"/>
      <c r="K7" s="73"/>
      <c r="L7" s="73"/>
    </row>
    <row r="8" spans="1:256" s="77" customFormat="1" x14ac:dyDescent="0.2">
      <c r="B8" s="25"/>
      <c r="C8" s="78" t="s">
        <v>67</v>
      </c>
      <c r="D8" s="78"/>
      <c r="E8" s="78" t="s">
        <v>68</v>
      </c>
      <c r="F8" s="78"/>
      <c r="G8" s="78"/>
      <c r="H8" s="79"/>
      <c r="J8" s="6"/>
      <c r="IV8" s="73"/>
    </row>
    <row r="9" spans="1:256" x14ac:dyDescent="0.2">
      <c r="C9" s="80"/>
      <c r="E9" s="80"/>
      <c r="F9" s="81"/>
      <c r="G9" s="81"/>
      <c r="H9" s="82"/>
      <c r="I9" s="81"/>
      <c r="IT9" s="13"/>
    </row>
    <row r="10" spans="1:256" x14ac:dyDescent="0.2">
      <c r="C10" s="83"/>
      <c r="E10" s="83"/>
      <c r="G10" s="13"/>
      <c r="H10" s="14"/>
      <c r="I10" s="81"/>
      <c r="J10" s="15"/>
      <c r="IT10" s="13"/>
    </row>
    <row r="11" spans="1:256" x14ac:dyDescent="0.2">
      <c r="C11" s="83"/>
      <c r="E11" s="83"/>
      <c r="G11" s="13"/>
      <c r="H11" s="14"/>
      <c r="I11" s="81"/>
      <c r="IT11" s="13"/>
    </row>
    <row r="12" spans="1:256" x14ac:dyDescent="0.2">
      <c r="C12" s="83"/>
      <c r="E12" s="83"/>
      <c r="G12" s="13"/>
      <c r="H12" s="14"/>
      <c r="I12" s="81"/>
      <c r="IT12" s="13"/>
    </row>
    <row r="13" spans="1:256" x14ac:dyDescent="0.2">
      <c r="C13" s="83"/>
      <c r="E13" s="83"/>
      <c r="G13" s="13"/>
      <c r="H13" s="14"/>
      <c r="I13" s="81"/>
      <c r="IT13" s="13"/>
    </row>
    <row r="14" spans="1:256" x14ac:dyDescent="0.2">
      <c r="C14" s="83"/>
      <c r="E14" s="83"/>
      <c r="G14" s="13"/>
      <c r="H14" s="14"/>
      <c r="I14" s="81"/>
      <c r="IT14" s="13"/>
    </row>
    <row r="15" spans="1:256" x14ac:dyDescent="0.2">
      <c r="C15" s="83"/>
      <c r="E15" s="83"/>
      <c r="G15" s="13"/>
      <c r="H15" s="14"/>
      <c r="I15" s="81"/>
      <c r="IT15" s="13"/>
    </row>
    <row r="16" spans="1:256" x14ac:dyDescent="0.2">
      <c r="C16" s="83"/>
      <c r="E16" s="83"/>
      <c r="G16" s="13"/>
      <c r="H16" s="14"/>
      <c r="I16" s="81"/>
      <c r="IT16" s="13"/>
    </row>
    <row r="17" spans="1:256" x14ac:dyDescent="0.2">
      <c r="C17" s="83"/>
      <c r="E17" s="83"/>
      <c r="G17" s="13"/>
      <c r="H17" s="14"/>
      <c r="I17" s="81"/>
      <c r="IT17" s="13"/>
    </row>
    <row r="18" spans="1:256" x14ac:dyDescent="0.2">
      <c r="C18" s="83"/>
      <c r="E18" s="83"/>
      <c r="G18" s="13"/>
      <c r="H18" s="14"/>
      <c r="I18" s="81"/>
      <c r="IT18" s="13"/>
    </row>
    <row r="19" spans="1:256" x14ac:dyDescent="0.2">
      <c r="C19" s="83"/>
      <c r="E19" s="83"/>
      <c r="G19" s="13"/>
      <c r="H19" s="14"/>
      <c r="I19" s="81"/>
      <c r="J19" s="15"/>
      <c r="IT19" s="13"/>
    </row>
    <row r="20" spans="1:256" x14ac:dyDescent="0.2">
      <c r="C20" s="83"/>
      <c r="E20" s="83"/>
      <c r="G20" s="13"/>
      <c r="H20" s="14"/>
      <c r="I20" s="81"/>
      <c r="IT20" s="13"/>
    </row>
    <row r="21" spans="1:256" x14ac:dyDescent="0.2">
      <c r="C21" s="83"/>
      <c r="E21" s="83"/>
      <c r="G21" s="13"/>
      <c r="H21" s="14"/>
      <c r="I21" s="81"/>
      <c r="J21" s="15"/>
      <c r="IT21" s="13"/>
    </row>
    <row r="22" spans="1:256" x14ac:dyDescent="0.2">
      <c r="C22" s="83"/>
      <c r="E22" s="83"/>
      <c r="G22" s="13"/>
      <c r="H22" s="14"/>
      <c r="I22" s="81"/>
      <c r="IT22" s="13"/>
    </row>
    <row r="23" spans="1:256" x14ac:dyDescent="0.2">
      <c r="C23" s="83"/>
      <c r="E23" s="83"/>
      <c r="G23" s="13"/>
      <c r="H23" s="14"/>
      <c r="I23" s="81"/>
      <c r="IT23" s="13"/>
    </row>
    <row r="24" spans="1:256" x14ac:dyDescent="0.2">
      <c r="C24" s="84"/>
      <c r="E24" s="84"/>
      <c r="F24" s="81"/>
      <c r="G24" s="81"/>
      <c r="H24" s="82"/>
      <c r="I24" s="81"/>
      <c r="IT24" s="13"/>
    </row>
    <row r="25" spans="1:256" ht="9.9499999999999993" customHeight="1" x14ac:dyDescent="0.25">
      <c r="A25" s="16"/>
      <c r="I25" s="73"/>
      <c r="K25" s="73"/>
      <c r="L25" s="73"/>
    </row>
    <row r="26" spans="1:256" x14ac:dyDescent="0.2">
      <c r="B26" s="25" t="s">
        <v>69</v>
      </c>
      <c r="E26" s="13"/>
      <c r="G26" s="13"/>
      <c r="H26" s="14"/>
      <c r="IT26" s="13"/>
    </row>
    <row r="27" spans="1:256" x14ac:dyDescent="0.2">
      <c r="B27" s="119" t="s">
        <v>64</v>
      </c>
      <c r="C27" s="13" t="s">
        <v>65</v>
      </c>
      <c r="E27" s="75">
        <f>SUM(E32:E47)-E29</f>
        <v>0</v>
      </c>
      <c r="G27" s="13"/>
      <c r="H27" s="14"/>
      <c r="IT27" s="13"/>
    </row>
    <row r="28" spans="1:256" ht="9.9499999999999993" customHeight="1" x14ac:dyDescent="0.25">
      <c r="A28" s="16"/>
      <c r="I28" s="73"/>
      <c r="J28" s="15"/>
      <c r="K28" s="73"/>
      <c r="L28" s="73"/>
    </row>
    <row r="29" spans="1:256" s="13" customFormat="1" ht="15.75" x14ac:dyDescent="0.25">
      <c r="B29" s="25"/>
      <c r="C29" s="13" t="s">
        <v>66</v>
      </c>
      <c r="E29" s="76"/>
      <c r="F29" s="16"/>
      <c r="G29" s="16"/>
      <c r="H29" s="14"/>
      <c r="J29" s="70"/>
    </row>
    <row r="30" spans="1:256" ht="9.9499999999999993" customHeight="1" x14ac:dyDescent="0.25">
      <c r="A30" s="16"/>
      <c r="I30" s="73"/>
      <c r="J30" s="15"/>
      <c r="K30" s="73"/>
      <c r="L30" s="73"/>
    </row>
    <row r="31" spans="1:256" s="77" customFormat="1" x14ac:dyDescent="0.2">
      <c r="B31" s="25"/>
      <c r="C31" s="78" t="s">
        <v>67</v>
      </c>
      <c r="D31" s="78"/>
      <c r="E31" s="78" t="s">
        <v>68</v>
      </c>
      <c r="F31" s="78"/>
      <c r="G31" s="78"/>
      <c r="H31" s="79"/>
      <c r="J31" s="70"/>
      <c r="IV31" s="73"/>
    </row>
    <row r="32" spans="1:256" x14ac:dyDescent="0.2">
      <c r="C32" s="80"/>
      <c r="E32" s="80"/>
      <c r="F32" s="81"/>
      <c r="G32" s="81"/>
      <c r="H32" s="82"/>
      <c r="I32" s="81"/>
      <c r="J32" s="15"/>
      <c r="IT32" s="13"/>
    </row>
    <row r="33" spans="3:254" x14ac:dyDescent="0.2">
      <c r="C33" s="83"/>
      <c r="E33" s="83"/>
      <c r="G33" s="13"/>
      <c r="H33" s="14"/>
      <c r="I33" s="81"/>
      <c r="IT33" s="13"/>
    </row>
    <row r="34" spans="3:254" x14ac:dyDescent="0.2">
      <c r="C34" s="83"/>
      <c r="E34" s="83"/>
      <c r="G34" s="13"/>
      <c r="H34" s="14"/>
      <c r="I34" s="81"/>
      <c r="IT34" s="13"/>
    </row>
    <row r="35" spans="3:254" x14ac:dyDescent="0.2">
      <c r="C35" s="83"/>
      <c r="E35" s="83"/>
      <c r="G35" s="13"/>
      <c r="H35" s="14"/>
      <c r="I35" s="81"/>
      <c r="IT35" s="13"/>
    </row>
    <row r="36" spans="3:254" x14ac:dyDescent="0.2">
      <c r="C36" s="83"/>
      <c r="E36" s="83"/>
      <c r="G36" s="13"/>
      <c r="H36" s="14"/>
      <c r="I36" s="81"/>
      <c r="IT36" s="13"/>
    </row>
    <row r="37" spans="3:254" x14ac:dyDescent="0.2">
      <c r="C37" s="83"/>
      <c r="E37" s="83"/>
      <c r="G37" s="13"/>
      <c r="H37" s="14"/>
      <c r="I37" s="81"/>
      <c r="J37" s="15"/>
      <c r="IT37" s="13"/>
    </row>
    <row r="38" spans="3:254" x14ac:dyDescent="0.2">
      <c r="C38" s="83"/>
      <c r="E38" s="83"/>
      <c r="G38" s="13"/>
      <c r="H38" s="14"/>
      <c r="I38" s="81"/>
      <c r="IT38" s="13"/>
    </row>
    <row r="39" spans="3:254" x14ac:dyDescent="0.2">
      <c r="C39" s="83"/>
      <c r="E39" s="83"/>
      <c r="G39" s="13"/>
      <c r="H39" s="14"/>
      <c r="I39" s="81"/>
      <c r="IT39" s="13"/>
    </row>
    <row r="40" spans="3:254" x14ac:dyDescent="0.2">
      <c r="C40" s="83"/>
      <c r="E40" s="83"/>
      <c r="G40" s="13"/>
      <c r="H40" s="14"/>
      <c r="I40" s="81"/>
      <c r="IT40" s="13"/>
    </row>
    <row r="41" spans="3:254" x14ac:dyDescent="0.2">
      <c r="C41" s="83"/>
      <c r="E41" s="83"/>
      <c r="G41" s="13"/>
      <c r="H41" s="14"/>
      <c r="I41" s="81"/>
      <c r="IT41" s="13"/>
    </row>
    <row r="42" spans="3:254" x14ac:dyDescent="0.2">
      <c r="C42" s="83"/>
      <c r="E42" s="83"/>
      <c r="G42" s="13"/>
      <c r="H42" s="14"/>
      <c r="I42" s="81"/>
      <c r="IT42" s="13"/>
    </row>
    <row r="43" spans="3:254" x14ac:dyDescent="0.2">
      <c r="C43" s="83"/>
      <c r="E43" s="83"/>
      <c r="G43" s="13"/>
      <c r="H43" s="14"/>
      <c r="I43" s="81"/>
      <c r="IT43" s="13"/>
    </row>
    <row r="44" spans="3:254" x14ac:dyDescent="0.2">
      <c r="C44" s="83"/>
      <c r="E44" s="83"/>
      <c r="G44" s="13"/>
      <c r="H44" s="14"/>
      <c r="I44" s="81"/>
      <c r="IT44" s="13"/>
    </row>
    <row r="45" spans="3:254" x14ac:dyDescent="0.2">
      <c r="C45" s="83"/>
      <c r="E45" s="83"/>
      <c r="G45" s="13"/>
      <c r="H45" s="14"/>
      <c r="I45" s="81"/>
      <c r="IT45" s="13"/>
    </row>
    <row r="46" spans="3:254" x14ac:dyDescent="0.2">
      <c r="C46" s="83"/>
      <c r="E46" s="83"/>
      <c r="G46" s="13"/>
      <c r="H46" s="14"/>
      <c r="I46" s="81"/>
      <c r="IT46" s="13"/>
    </row>
    <row r="47" spans="3:254" x14ac:dyDescent="0.2">
      <c r="C47" s="84"/>
      <c r="E47" s="84"/>
      <c r="F47" s="81"/>
      <c r="G47" s="81"/>
      <c r="H47" s="82"/>
      <c r="I47" s="81"/>
      <c r="IT47" s="13"/>
    </row>
  </sheetData>
  <hyperlinks>
    <hyperlink ref="B4" location="'Lähivanhemman perhe'!A1" display="&lt;&lt;&lt;" xr:uid="{00000000-0004-0000-0400-000000000000}"/>
    <hyperlink ref="B27" location="'Elatusvelvollisen perhe'!A1" display="&lt;&lt;&lt;" xr:uid="{00000000-0004-0000-0400-000001000000}"/>
  </hyperlinks>
  <pageMargins left="0.7" right="0.7" top="0.75" bottom="0.75" header="0.3" footer="0.3"/>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FC5B-B4D0-44F1-8CB0-DB871B9C7427}">
  <dimension ref="A1:N52"/>
  <sheetViews>
    <sheetView showGridLines="0" workbookViewId="0">
      <selection activeCell="E6" sqref="E6"/>
    </sheetView>
  </sheetViews>
  <sheetFormatPr defaultColWidth="11.5703125" defaultRowHeight="15" x14ac:dyDescent="0.2"/>
  <cols>
    <col min="1" max="1" width="2.42578125" style="21" customWidth="1"/>
    <col min="2" max="2" width="7.7109375" style="21" customWidth="1"/>
    <col min="3" max="3" width="14.28515625" style="40" customWidth="1"/>
    <col min="4" max="4" width="2.28515625" style="40" customWidth="1"/>
    <col min="5" max="5" width="11.5703125" style="21"/>
    <col min="6" max="6" width="2" style="21" customWidth="1"/>
    <col min="7" max="11" width="11.5703125" style="21"/>
    <col min="12" max="12" width="36.140625" style="21" customWidth="1"/>
    <col min="13" max="16384" width="11.5703125" style="21"/>
  </cols>
  <sheetData>
    <row r="1" spans="1:14" ht="15.75" x14ac:dyDescent="0.25">
      <c r="A1" s="19" t="s">
        <v>207</v>
      </c>
      <c r="H1"/>
      <c r="I1"/>
      <c r="J1"/>
      <c r="K1"/>
      <c r="L1"/>
      <c r="M1"/>
      <c r="N1"/>
    </row>
    <row r="2" spans="1:14" ht="9.75" customHeight="1" x14ac:dyDescent="0.2">
      <c r="H2"/>
      <c r="I2"/>
      <c r="J2"/>
      <c r="K2"/>
      <c r="L2" s="23"/>
      <c r="M2"/>
      <c r="N2"/>
    </row>
    <row r="3" spans="1:14" x14ac:dyDescent="0.2">
      <c r="B3" s="20" t="s">
        <v>208</v>
      </c>
    </row>
    <row r="4" spans="1:14" ht="9.75" customHeight="1" x14ac:dyDescent="0.2">
      <c r="L4" s="23"/>
    </row>
    <row r="5" spans="1:14" ht="15.75" x14ac:dyDescent="0.25">
      <c r="C5" s="85" t="s">
        <v>209</v>
      </c>
      <c r="D5" s="85"/>
      <c r="E5" s="19" t="s">
        <v>203</v>
      </c>
      <c r="F5" s="19"/>
    </row>
    <row r="6" spans="1:14" x14ac:dyDescent="0.2">
      <c r="C6" s="40">
        <v>7</v>
      </c>
      <c r="E6" s="86">
        <v>359</v>
      </c>
      <c r="L6"/>
    </row>
    <row r="7" spans="1:14" x14ac:dyDescent="0.2">
      <c r="C7" s="40">
        <v>13</v>
      </c>
      <c r="E7" s="87">
        <v>418</v>
      </c>
    </row>
    <row r="8" spans="1:14" x14ac:dyDescent="0.2">
      <c r="C8" s="40">
        <v>18</v>
      </c>
      <c r="E8" s="88">
        <v>563</v>
      </c>
      <c r="L8" s="23"/>
    </row>
    <row r="9" spans="1:14" ht="9.75" customHeight="1" x14ac:dyDescent="0.2"/>
    <row r="10" spans="1:14" x14ac:dyDescent="0.2">
      <c r="B10" s="20" t="s">
        <v>210</v>
      </c>
    </row>
    <row r="11" spans="1:14" ht="9.75" customHeight="1" x14ac:dyDescent="0.2"/>
    <row r="12" spans="1:14" ht="15.75" x14ac:dyDescent="0.25">
      <c r="C12" s="85" t="s">
        <v>211</v>
      </c>
      <c r="E12" s="19" t="s">
        <v>203</v>
      </c>
    </row>
    <row r="13" spans="1:14" x14ac:dyDescent="0.2">
      <c r="C13" s="40" t="s">
        <v>212</v>
      </c>
      <c r="E13" s="86">
        <v>720</v>
      </c>
    </row>
    <row r="14" spans="1:14" x14ac:dyDescent="0.2">
      <c r="C14" s="40" t="s">
        <v>213</v>
      </c>
      <c r="E14" s="88">
        <v>606</v>
      </c>
    </row>
    <row r="15" spans="1:14" ht="9.75" customHeight="1" x14ac:dyDescent="0.2"/>
    <row r="16" spans="1:14" x14ac:dyDescent="0.2">
      <c r="B16" s="20" t="s">
        <v>214</v>
      </c>
      <c r="L16" s="23"/>
    </row>
    <row r="17" spans="2:12" ht="15.75" x14ac:dyDescent="0.25">
      <c r="H17" s="19" t="s">
        <v>203</v>
      </c>
    </row>
    <row r="18" spans="2:12" ht="15.75" x14ac:dyDescent="0.25">
      <c r="C18" s="21"/>
      <c r="D18" s="85"/>
      <c r="E18" s="85" t="s">
        <v>215</v>
      </c>
      <c r="F18" s="19"/>
      <c r="H18" s="19" t="s">
        <v>216</v>
      </c>
    </row>
    <row r="19" spans="2:12" ht="15.75" x14ac:dyDescent="0.25">
      <c r="G19" s="19">
        <v>7</v>
      </c>
      <c r="H19" s="19">
        <v>13</v>
      </c>
      <c r="I19" s="19">
        <v>18</v>
      </c>
      <c r="J19" s="19"/>
    </row>
    <row r="20" spans="2:12" x14ac:dyDescent="0.2">
      <c r="C20" s="21"/>
      <c r="E20" s="40">
        <v>7</v>
      </c>
      <c r="F20" s="89">
        <v>1</v>
      </c>
      <c r="G20" s="90">
        <v>0</v>
      </c>
      <c r="H20" s="91">
        <v>0</v>
      </c>
      <c r="I20" s="92">
        <v>0</v>
      </c>
      <c r="J20" s="151"/>
      <c r="L20" s="23"/>
    </row>
    <row r="21" spans="2:12" x14ac:dyDescent="0.2">
      <c r="C21" s="21"/>
      <c r="E21" s="40">
        <v>9</v>
      </c>
      <c r="F21" s="89">
        <v>2</v>
      </c>
      <c r="G21" s="94">
        <v>37</v>
      </c>
      <c r="H21" s="95">
        <v>40.5</v>
      </c>
      <c r="I21" s="96">
        <v>44</v>
      </c>
      <c r="J21" s="151"/>
    </row>
    <row r="22" spans="2:12" x14ac:dyDescent="0.2">
      <c r="C22" s="21"/>
      <c r="E22" s="40">
        <v>12</v>
      </c>
      <c r="F22" s="89">
        <v>3</v>
      </c>
      <c r="G22" s="94">
        <v>50.5</v>
      </c>
      <c r="H22" s="95">
        <v>54.5</v>
      </c>
      <c r="I22" s="96">
        <v>62</v>
      </c>
      <c r="J22" s="151"/>
      <c r="L22" s="23"/>
    </row>
    <row r="23" spans="2:12" x14ac:dyDescent="0.2">
      <c r="C23" s="21"/>
      <c r="E23" s="40">
        <v>15</v>
      </c>
      <c r="F23" s="89">
        <v>4</v>
      </c>
      <c r="G23" s="97">
        <v>66.5</v>
      </c>
      <c r="H23" s="98">
        <v>71</v>
      </c>
      <c r="I23" s="99">
        <v>77</v>
      </c>
      <c r="J23" s="151"/>
    </row>
    <row r="24" spans="2:12" ht="9.75" customHeight="1" x14ac:dyDescent="0.2"/>
    <row r="25" spans="2:12" x14ac:dyDescent="0.2">
      <c r="B25" s="20" t="s">
        <v>217</v>
      </c>
    </row>
    <row r="26" spans="2:12" ht="9.75" customHeight="1" x14ac:dyDescent="0.2"/>
    <row r="27" spans="2:12" ht="15.75" x14ac:dyDescent="0.25">
      <c r="C27" s="85" t="s">
        <v>202</v>
      </c>
      <c r="D27" s="85"/>
      <c r="E27" s="19" t="s">
        <v>218</v>
      </c>
      <c r="F27" s="19"/>
      <c r="G27" s="19" t="s">
        <v>219</v>
      </c>
    </row>
    <row r="28" spans="2:12" x14ac:dyDescent="0.2">
      <c r="C28" s="40">
        <v>1</v>
      </c>
      <c r="E28" s="101">
        <v>0.23</v>
      </c>
      <c r="F28" s="102"/>
      <c r="G28" s="102">
        <f t="shared" ref="G28:G34" si="0">C28*E28</f>
        <v>0.23</v>
      </c>
    </row>
    <row r="29" spans="2:12" x14ac:dyDescent="0.2">
      <c r="C29" s="40">
        <v>2</v>
      </c>
      <c r="E29" s="103">
        <v>0.19</v>
      </c>
      <c r="F29" s="102"/>
      <c r="G29" s="102">
        <f t="shared" si="0"/>
        <v>0.38</v>
      </c>
      <c r="L29" s="23"/>
    </row>
    <row r="30" spans="2:12" x14ac:dyDescent="0.2">
      <c r="C30" s="40">
        <v>3</v>
      </c>
      <c r="E30" s="103">
        <v>0.16</v>
      </c>
      <c r="F30" s="102"/>
      <c r="G30" s="102">
        <f t="shared" si="0"/>
        <v>0.48</v>
      </c>
    </row>
    <row r="31" spans="2:12" x14ac:dyDescent="0.2">
      <c r="C31" s="40">
        <v>4</v>
      </c>
      <c r="E31" s="103">
        <v>0.14000000000000001</v>
      </c>
      <c r="F31" s="102"/>
      <c r="G31" s="102">
        <f t="shared" si="0"/>
        <v>0.56000000000000005</v>
      </c>
      <c r="L31" s="23"/>
    </row>
    <row r="32" spans="2:12" x14ac:dyDescent="0.2">
      <c r="C32" s="40">
        <v>5</v>
      </c>
      <c r="E32" s="103">
        <v>0.12</v>
      </c>
      <c r="F32" s="102"/>
      <c r="G32" s="102">
        <f t="shared" si="0"/>
        <v>0.6</v>
      </c>
    </row>
    <row r="33" spans="2:12" x14ac:dyDescent="0.2">
      <c r="C33" s="40">
        <v>6</v>
      </c>
      <c r="E33" s="103">
        <v>0.11</v>
      </c>
      <c r="F33" s="102"/>
      <c r="G33" s="102">
        <f t="shared" si="0"/>
        <v>0.66</v>
      </c>
    </row>
    <row r="34" spans="2:12" x14ac:dyDescent="0.2">
      <c r="C34" s="40">
        <v>7</v>
      </c>
      <c r="E34" s="104">
        <v>0.1</v>
      </c>
      <c r="F34" s="102"/>
      <c r="G34" s="102">
        <f t="shared" si="0"/>
        <v>0.70000000000000007</v>
      </c>
    </row>
    <row r="35" spans="2:12" ht="9.75" customHeight="1" x14ac:dyDescent="0.2"/>
    <row r="36" spans="2:12" x14ac:dyDescent="0.2">
      <c r="B36" s="20" t="s">
        <v>220</v>
      </c>
    </row>
    <row r="37" spans="2:12" ht="9.75" customHeight="1" x14ac:dyDescent="0.2">
      <c r="L37" s="23"/>
    </row>
    <row r="38" spans="2:12" x14ac:dyDescent="0.2">
      <c r="C38" s="40" t="s">
        <v>221</v>
      </c>
      <c r="E38" s="86">
        <v>10</v>
      </c>
    </row>
    <row r="39" spans="2:12" x14ac:dyDescent="0.2">
      <c r="C39" s="40" t="s">
        <v>222</v>
      </c>
      <c r="E39" s="87">
        <v>40</v>
      </c>
      <c r="L39" s="23"/>
    </row>
    <row r="40" spans="2:12" x14ac:dyDescent="0.2">
      <c r="C40" s="40" t="s">
        <v>223</v>
      </c>
      <c r="E40" s="88">
        <v>20</v>
      </c>
    </row>
    <row r="41" spans="2:12" ht="9.75" customHeight="1" x14ac:dyDescent="0.2"/>
    <row r="42" spans="2:12" x14ac:dyDescent="0.2">
      <c r="B42" s="20" t="s">
        <v>201</v>
      </c>
    </row>
    <row r="43" spans="2:12" x14ac:dyDescent="0.2">
      <c r="B43" s="20"/>
      <c r="C43" s="40" t="s">
        <v>224</v>
      </c>
    </row>
    <row r="44" spans="2:12" x14ac:dyDescent="0.2">
      <c r="C44" s="40" t="s">
        <v>225</v>
      </c>
      <c r="E44" s="43">
        <v>73.3</v>
      </c>
    </row>
    <row r="45" spans="2:12" x14ac:dyDescent="0.2">
      <c r="C45" s="40" t="s">
        <v>226</v>
      </c>
      <c r="E45" s="44">
        <v>26</v>
      </c>
    </row>
    <row r="46" spans="2:12" x14ac:dyDescent="0.2">
      <c r="C46" s="40">
        <v>1</v>
      </c>
      <c r="E46" s="44">
        <v>94.88</v>
      </c>
      <c r="G46" s="105">
        <f>E46</f>
        <v>94.88</v>
      </c>
    </row>
    <row r="47" spans="2:12" x14ac:dyDescent="0.2">
      <c r="C47" s="40">
        <v>2</v>
      </c>
      <c r="E47" s="44">
        <v>104.84</v>
      </c>
      <c r="G47" s="105">
        <f>G46+E47</f>
        <v>199.72</v>
      </c>
    </row>
    <row r="48" spans="2:12" x14ac:dyDescent="0.2">
      <c r="C48" s="40">
        <v>3</v>
      </c>
      <c r="E48" s="44">
        <v>133.79</v>
      </c>
      <c r="G48" s="105">
        <f>G47+E48</f>
        <v>333.51</v>
      </c>
    </row>
    <row r="49" spans="2:7" x14ac:dyDescent="0.2">
      <c r="C49" s="40">
        <v>4</v>
      </c>
      <c r="E49" s="44">
        <v>173.24</v>
      </c>
      <c r="G49" s="105">
        <f>G48+E49</f>
        <v>506.75</v>
      </c>
    </row>
    <row r="50" spans="2:7" x14ac:dyDescent="0.2">
      <c r="C50" s="40">
        <v>5</v>
      </c>
      <c r="E50" s="50">
        <v>192.69</v>
      </c>
      <c r="G50" s="105">
        <f>G49+E50</f>
        <v>699.44</v>
      </c>
    </row>
    <row r="52" spans="2:7" x14ac:dyDescent="0.2">
      <c r="B52" s="20" t="s">
        <v>262</v>
      </c>
      <c r="E52" s="142">
        <v>196.02</v>
      </c>
    </row>
  </sheetData>
  <sheetProtection sheet="1" objects="1" scenarios="1"/>
  <pageMargins left="0.78749999999999998" right="0.78749999999999998" top="0.78749999999999998" bottom="0.78749999999999998"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2"/>
  <sheetViews>
    <sheetView showGridLines="0" workbookViewId="0">
      <selection activeCell="E6" sqref="E6"/>
    </sheetView>
  </sheetViews>
  <sheetFormatPr defaultColWidth="11.5703125" defaultRowHeight="15" x14ac:dyDescent="0.2"/>
  <cols>
    <col min="1" max="1" width="2.42578125" style="21" customWidth="1"/>
    <col min="2" max="2" width="7.7109375" style="21" customWidth="1"/>
    <col min="3" max="3" width="14.28515625" style="40" customWidth="1"/>
    <col min="4" max="4" width="2.28515625" style="40" customWidth="1"/>
    <col min="5" max="5" width="11.5703125" style="21"/>
    <col min="6" max="6" width="2" style="21" customWidth="1"/>
    <col min="7" max="11" width="11.5703125" style="21"/>
    <col min="12" max="12" width="36.140625" style="70" customWidth="1"/>
    <col min="13" max="16384" width="11.5703125" style="21"/>
  </cols>
  <sheetData>
    <row r="1" spans="1:14" ht="15.75" x14ac:dyDescent="0.25">
      <c r="A1" s="19" t="s">
        <v>70</v>
      </c>
      <c r="H1"/>
      <c r="I1"/>
      <c r="J1"/>
      <c r="K1"/>
      <c r="L1" s="3"/>
      <c r="M1"/>
      <c r="N1"/>
    </row>
    <row r="2" spans="1:14" ht="9.75" customHeight="1" x14ac:dyDescent="0.2">
      <c r="H2"/>
      <c r="I2"/>
      <c r="J2"/>
      <c r="K2"/>
      <c r="L2" s="24"/>
      <c r="M2"/>
      <c r="N2"/>
    </row>
    <row r="3" spans="1:14" x14ac:dyDescent="0.2">
      <c r="B3" s="20" t="s">
        <v>71</v>
      </c>
    </row>
    <row r="4" spans="1:14" ht="9.75" customHeight="1" x14ac:dyDescent="0.2">
      <c r="L4" s="24"/>
    </row>
    <row r="5" spans="1:14" ht="15.75" x14ac:dyDescent="0.25">
      <c r="C5" s="85" t="s">
        <v>72</v>
      </c>
      <c r="D5" s="85"/>
      <c r="E5" s="19" t="s">
        <v>68</v>
      </c>
      <c r="F5" s="19"/>
    </row>
    <row r="6" spans="1:14" x14ac:dyDescent="0.2">
      <c r="C6" s="40">
        <v>7</v>
      </c>
      <c r="E6" s="86">
        <v>359</v>
      </c>
      <c r="L6" s="3"/>
    </row>
    <row r="7" spans="1:14" x14ac:dyDescent="0.2">
      <c r="C7" s="40">
        <v>13</v>
      </c>
      <c r="E7" s="87">
        <v>418</v>
      </c>
    </row>
    <row r="8" spans="1:14" x14ac:dyDescent="0.2">
      <c r="C8" s="40">
        <v>18</v>
      </c>
      <c r="E8" s="88">
        <v>563</v>
      </c>
      <c r="L8" s="24"/>
    </row>
    <row r="9" spans="1:14" ht="9.75" customHeight="1" x14ac:dyDescent="0.2"/>
    <row r="10" spans="1:14" x14ac:dyDescent="0.2">
      <c r="B10" s="20" t="s">
        <v>73</v>
      </c>
    </row>
    <row r="11" spans="1:14" ht="9.75" customHeight="1" x14ac:dyDescent="0.2"/>
    <row r="12" spans="1:14" ht="15.75" x14ac:dyDescent="0.25">
      <c r="C12" s="85" t="s">
        <v>74</v>
      </c>
      <c r="E12" s="19" t="s">
        <v>68</v>
      </c>
    </row>
    <row r="13" spans="1:14" x14ac:dyDescent="0.2">
      <c r="C13" s="40" t="s">
        <v>75</v>
      </c>
      <c r="E13" s="86">
        <v>720</v>
      </c>
    </row>
    <row r="14" spans="1:14" x14ac:dyDescent="0.2">
      <c r="C14" s="40" t="s">
        <v>76</v>
      </c>
      <c r="E14" s="88">
        <v>606</v>
      </c>
    </row>
    <row r="15" spans="1:14" ht="9.75" customHeight="1" x14ac:dyDescent="0.2"/>
    <row r="16" spans="1:14" hidden="1" x14ac:dyDescent="0.2">
      <c r="B16" s="20" t="s">
        <v>77</v>
      </c>
      <c r="L16" s="24"/>
    </row>
    <row r="17" spans="2:12" ht="15.75" hidden="1" x14ac:dyDescent="0.25">
      <c r="H17" s="19" t="s">
        <v>68</v>
      </c>
    </row>
    <row r="18" spans="2:12" ht="15.75" hidden="1" x14ac:dyDescent="0.25">
      <c r="C18" s="21"/>
      <c r="D18" s="85"/>
      <c r="E18" s="85" t="s">
        <v>78</v>
      </c>
      <c r="F18" s="19"/>
      <c r="H18" s="19" t="s">
        <v>79</v>
      </c>
    </row>
    <row r="19" spans="2:12" ht="15.75" hidden="1" x14ac:dyDescent="0.25">
      <c r="G19" s="19">
        <v>7</v>
      </c>
      <c r="H19" s="19">
        <v>13</v>
      </c>
      <c r="I19" s="19">
        <v>18</v>
      </c>
      <c r="J19" s="19"/>
    </row>
    <row r="20" spans="2:12" hidden="1" x14ac:dyDescent="0.2">
      <c r="C20" s="21"/>
      <c r="E20" s="40">
        <v>7</v>
      </c>
      <c r="F20" s="89">
        <v>1</v>
      </c>
      <c r="G20" s="90">
        <v>0</v>
      </c>
      <c r="H20" s="91">
        <v>0</v>
      </c>
      <c r="I20" s="92">
        <v>0</v>
      </c>
      <c r="J20" s="93"/>
      <c r="L20" s="24"/>
    </row>
    <row r="21" spans="2:12" hidden="1" x14ac:dyDescent="0.2">
      <c r="C21" s="21"/>
      <c r="E21" s="40">
        <v>9</v>
      </c>
      <c r="F21" s="89">
        <v>2</v>
      </c>
      <c r="G21" s="94">
        <v>35.5</v>
      </c>
      <c r="H21" s="95">
        <v>38.5</v>
      </c>
      <c r="I21" s="96">
        <v>42</v>
      </c>
      <c r="J21" s="93"/>
    </row>
    <row r="22" spans="2:12" hidden="1" x14ac:dyDescent="0.2">
      <c r="C22" s="21"/>
      <c r="E22" s="40">
        <v>12</v>
      </c>
      <c r="F22" s="89">
        <v>3</v>
      </c>
      <c r="G22" s="94">
        <v>48</v>
      </c>
      <c r="H22" s="95">
        <v>52</v>
      </c>
      <c r="I22" s="96">
        <v>59</v>
      </c>
      <c r="J22" s="93"/>
      <c r="L22" s="24"/>
    </row>
    <row r="23" spans="2:12" hidden="1" x14ac:dyDescent="0.2">
      <c r="C23" s="21"/>
      <c r="E23" s="40">
        <v>15</v>
      </c>
      <c r="F23" s="89">
        <v>4</v>
      </c>
      <c r="G23" s="97">
        <v>63.5</v>
      </c>
      <c r="H23" s="98">
        <v>67.5</v>
      </c>
      <c r="I23" s="99">
        <v>73.5</v>
      </c>
      <c r="J23" s="93"/>
    </row>
    <row r="24" spans="2:12" ht="9.75" customHeight="1" x14ac:dyDescent="0.2">
      <c r="G24" s="100"/>
      <c r="H24" s="100"/>
      <c r="I24" s="100"/>
    </row>
    <row r="25" spans="2:12" x14ac:dyDescent="0.2">
      <c r="B25" s="20" t="s">
        <v>80</v>
      </c>
    </row>
    <row r="26" spans="2:12" ht="9.75" customHeight="1" x14ac:dyDescent="0.2"/>
    <row r="27" spans="2:12" ht="15.75" x14ac:dyDescent="0.25">
      <c r="C27" s="85" t="s">
        <v>81</v>
      </c>
      <c r="D27" s="85"/>
      <c r="E27" s="19" t="s">
        <v>17</v>
      </c>
      <c r="F27" s="19"/>
      <c r="G27" s="19" t="s">
        <v>82</v>
      </c>
    </row>
    <row r="28" spans="2:12" x14ac:dyDescent="0.2">
      <c r="C28" s="40">
        <v>1</v>
      </c>
      <c r="E28" s="101">
        <v>0.23</v>
      </c>
      <c r="F28" s="102"/>
      <c r="G28" s="102">
        <f t="shared" ref="G28:G34" si="0">C28*E28</f>
        <v>0.23</v>
      </c>
    </row>
    <row r="29" spans="2:12" x14ac:dyDescent="0.2">
      <c r="C29" s="40">
        <v>2</v>
      </c>
      <c r="E29" s="103">
        <v>0.19</v>
      </c>
      <c r="F29" s="102"/>
      <c r="G29" s="102">
        <f t="shared" si="0"/>
        <v>0.38</v>
      </c>
      <c r="L29" s="24"/>
    </row>
    <row r="30" spans="2:12" x14ac:dyDescent="0.2">
      <c r="C30" s="40">
        <v>3</v>
      </c>
      <c r="E30" s="103">
        <v>0.16</v>
      </c>
      <c r="F30" s="102"/>
      <c r="G30" s="102">
        <f t="shared" si="0"/>
        <v>0.48</v>
      </c>
    </row>
    <row r="31" spans="2:12" x14ac:dyDescent="0.2">
      <c r="C31" s="40">
        <v>4</v>
      </c>
      <c r="E31" s="103">
        <v>0.14000000000000001</v>
      </c>
      <c r="F31" s="102"/>
      <c r="G31" s="102">
        <f t="shared" si="0"/>
        <v>0.56000000000000005</v>
      </c>
      <c r="L31" s="24"/>
    </row>
    <row r="32" spans="2:12" x14ac:dyDescent="0.2">
      <c r="C32" s="40">
        <v>5</v>
      </c>
      <c r="E32" s="103">
        <v>0.12</v>
      </c>
      <c r="F32" s="102"/>
      <c r="G32" s="102">
        <f t="shared" si="0"/>
        <v>0.6</v>
      </c>
    </row>
    <row r="33" spans="2:12" x14ac:dyDescent="0.2">
      <c r="C33" s="40">
        <v>6</v>
      </c>
      <c r="E33" s="103">
        <v>0.11</v>
      </c>
      <c r="F33" s="102"/>
      <c r="G33" s="102">
        <f t="shared" si="0"/>
        <v>0.66</v>
      </c>
    </row>
    <row r="34" spans="2:12" x14ac:dyDescent="0.2">
      <c r="C34" s="40">
        <v>7</v>
      </c>
      <c r="E34" s="104">
        <v>0.1</v>
      </c>
      <c r="F34" s="102"/>
      <c r="G34" s="102">
        <f t="shared" si="0"/>
        <v>0.70000000000000007</v>
      </c>
    </row>
    <row r="35" spans="2:12" ht="9.75" customHeight="1" x14ac:dyDescent="0.2"/>
    <row r="36" spans="2:12" x14ac:dyDescent="0.2">
      <c r="B36" s="20" t="s">
        <v>83</v>
      </c>
    </row>
    <row r="37" spans="2:12" x14ac:dyDescent="0.2">
      <c r="L37" s="24"/>
    </row>
    <row r="38" spans="2:12" x14ac:dyDescent="0.2">
      <c r="C38" s="40" t="s">
        <v>84</v>
      </c>
      <c r="E38" s="86">
        <v>10</v>
      </c>
    </row>
    <row r="39" spans="2:12" x14ac:dyDescent="0.2">
      <c r="C39" s="40" t="s">
        <v>85</v>
      </c>
      <c r="E39" s="87">
        <v>40</v>
      </c>
      <c r="L39" s="24"/>
    </row>
    <row r="40" spans="2:12" x14ac:dyDescent="0.2">
      <c r="C40" s="40" t="s">
        <v>86</v>
      </c>
      <c r="E40" s="88">
        <v>20</v>
      </c>
    </row>
    <row r="41" spans="2:12" ht="9.75" customHeight="1" x14ac:dyDescent="0.2"/>
    <row r="42" spans="2:12" x14ac:dyDescent="0.2">
      <c r="B42" s="20" t="s">
        <v>14</v>
      </c>
    </row>
    <row r="43" spans="2:12" x14ac:dyDescent="0.2">
      <c r="B43" s="20"/>
      <c r="C43" s="40" t="s">
        <v>145</v>
      </c>
    </row>
    <row r="44" spans="2:12" x14ac:dyDescent="0.2">
      <c r="C44" s="21" t="s">
        <v>146</v>
      </c>
      <c r="E44" s="43">
        <v>73.3</v>
      </c>
    </row>
    <row r="45" spans="2:12" x14ac:dyDescent="0.2">
      <c r="C45" s="40" t="s">
        <v>147</v>
      </c>
      <c r="E45" s="44">
        <v>26</v>
      </c>
    </row>
    <row r="46" spans="2:12" x14ac:dyDescent="0.2">
      <c r="C46" s="40">
        <v>1</v>
      </c>
      <c r="E46" s="44">
        <v>94.88</v>
      </c>
      <c r="G46" s="105">
        <f>E46</f>
        <v>94.88</v>
      </c>
    </row>
    <row r="47" spans="2:12" x14ac:dyDescent="0.2">
      <c r="C47" s="40">
        <v>2</v>
      </c>
      <c r="E47" s="44">
        <v>104.84</v>
      </c>
      <c r="G47" s="105">
        <f>G46+E47</f>
        <v>199.72</v>
      </c>
    </row>
    <row r="48" spans="2:12" x14ac:dyDescent="0.2">
      <c r="C48" s="40">
        <v>3</v>
      </c>
      <c r="E48" s="44">
        <v>133.79</v>
      </c>
      <c r="G48" s="105">
        <f>G47+E48</f>
        <v>333.51</v>
      </c>
    </row>
    <row r="49" spans="2:9" x14ac:dyDescent="0.2">
      <c r="C49" s="40">
        <v>4</v>
      </c>
      <c r="E49" s="44">
        <v>173.24</v>
      </c>
      <c r="G49" s="105">
        <f>G48+E49</f>
        <v>506.75</v>
      </c>
    </row>
    <row r="50" spans="2:9" x14ac:dyDescent="0.2">
      <c r="C50" s="40">
        <v>5</v>
      </c>
      <c r="E50" s="50">
        <v>192.69</v>
      </c>
      <c r="G50" s="105">
        <f>G49+E50</f>
        <v>699.44</v>
      </c>
      <c r="I50" s="21">
        <f>G50/6*5</f>
        <v>582.86666666666667</v>
      </c>
    </row>
    <row r="52" spans="2:9" x14ac:dyDescent="0.2">
      <c r="B52" s="20" t="s">
        <v>134</v>
      </c>
      <c r="E52" s="142">
        <v>186.97</v>
      </c>
    </row>
  </sheetData>
  <pageMargins left="0.7" right="0.7" top="0.75" bottom="0.75" header="0.3" footer="0.3"/>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11</vt:i4>
      </vt:variant>
      <vt:variant>
        <vt:lpstr>Nimetyt alueet</vt:lpstr>
      </vt:variant>
      <vt:variant>
        <vt:i4>28</vt:i4>
      </vt:variant>
    </vt:vector>
  </HeadingPairs>
  <TitlesOfParts>
    <vt:vector size="39" baseType="lpstr">
      <vt:lpstr>Info</vt:lpstr>
      <vt:lpstr>Sammandrag</vt:lpstr>
      <vt:lpstr>Underhållstagar</vt:lpstr>
      <vt:lpstr>Perhe A old</vt:lpstr>
      <vt:lpstr>Familj A</vt:lpstr>
      <vt:lpstr>Familj B</vt:lpstr>
      <vt:lpstr>Asumismenojen erittely</vt:lpstr>
      <vt:lpstr>Grunduppgifter</vt:lpstr>
      <vt:lpstr>Grunduppgifter old</vt:lpstr>
      <vt:lpstr>Ändringar old</vt:lpstr>
      <vt:lpstr>Ändringar</vt:lpstr>
      <vt:lpstr>Grunduppgifter!Asumis_osuudet</vt:lpstr>
      <vt:lpstr>Asumis_osuudet</vt:lpstr>
      <vt:lpstr>Asumismenot</vt:lpstr>
      <vt:lpstr>Elatusaajat</vt:lpstr>
      <vt:lpstr>Elatusvelvollisen_asumismenot</vt:lpstr>
      <vt:lpstr>'Familj A'!Elatusvelvollisen_asumismenot_back</vt:lpstr>
      <vt:lpstr>Elatusvelvollisen_asumismenot_back</vt:lpstr>
      <vt:lpstr>'Familj A'!Elatusvelvollisen_tiedot</vt:lpstr>
      <vt:lpstr>Underhållstagar!Elatusvelvollisen_tiedot</vt:lpstr>
      <vt:lpstr>Elatusvelvollisen_tiedot</vt:lpstr>
      <vt:lpstr>Grunduppgifter!Lapsilisat</vt:lpstr>
      <vt:lpstr>Lapsilisat</vt:lpstr>
      <vt:lpstr>Grunduppgifter!Lasten_kustannukset</vt:lpstr>
      <vt:lpstr>Lasten_kustannukset</vt:lpstr>
      <vt:lpstr>Grunduppgifter!Lasten_luonapito</vt:lpstr>
      <vt:lpstr>Lasten_luonapito</vt:lpstr>
      <vt:lpstr>Lähivanhemman_asumismenot</vt:lpstr>
      <vt:lpstr>Lähivanhemman_asumismenot_back</vt:lpstr>
      <vt:lpstr>Lähivanhemman_tiedot</vt:lpstr>
      <vt:lpstr>Muutoshistoria</vt:lpstr>
      <vt:lpstr>Tulosta_laskelma</vt:lpstr>
      <vt:lpstr>Grunduppgifter!Tulosta_vakiot</vt:lpstr>
      <vt:lpstr>Tulosta_vakiot</vt:lpstr>
      <vt:lpstr>'Familj A'!Tulostusalue</vt:lpstr>
      <vt:lpstr>'Familj B'!Tulostusalue</vt:lpstr>
      <vt:lpstr>'Perhe A old'!Tulostusalue</vt:lpstr>
      <vt:lpstr>Sammandrag!Tulostusalue</vt:lpstr>
      <vt:lpstr>Underhållstagar!Tulostusalue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 Martin (OAT)</dc:creator>
  <cp:lastModifiedBy>Melin Martin (OA)</cp:lastModifiedBy>
  <cp:lastPrinted>2023-06-11T07:13:08Z</cp:lastPrinted>
  <dcterms:created xsi:type="dcterms:W3CDTF">2017-11-05T15:57:47Z</dcterms:created>
  <dcterms:modified xsi:type="dcterms:W3CDTF">2024-01-08T07:46:24Z</dcterms:modified>
</cp:coreProperties>
</file>